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45" tabRatio="517" firstSheet="7" activeTab="8"/>
  </bookViews>
  <sheets>
    <sheet name="Nájemné" sheetId="1" state="hidden" r:id="rId1"/>
    <sheet name="zadání" sheetId="2" state="hidden" r:id="rId2"/>
    <sheet name="jednosložkové" sheetId="3" state="hidden" r:id="rId3"/>
    <sheet name="Zvýšení ceny" sheetId="4" state="hidden" r:id="rId4"/>
    <sheet name="Prezentace" sheetId="5" state="hidden" r:id="rId5"/>
    <sheet name="Prezentace jednoduchá" sheetId="6" state="hidden" r:id="rId6"/>
    <sheet name="původní kalkulace" sheetId="7" r:id="rId7"/>
    <sheet name="kalkulace jen čištění" sheetId="8" r:id="rId8"/>
    <sheet name="kalkulace jen odvádění" sheetId="9" r:id="rId9"/>
    <sheet name="pevná složka" sheetId="10" state="hidden" r:id="rId10"/>
    <sheet name="dvousl. - vdm." sheetId="11" state="hidden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Table2_Out" localSheetId="3" hidden="1">#REF!</definedName>
    <definedName name="_Table2_Out" hidden="1">#REF!</definedName>
    <definedName name="a">'[3]0-Basic'!#REF!</definedName>
    <definedName name="A_GuV" localSheetId="3" hidden="1">{"Title",#N/A,TRUE,"Title";"Assumptions",#N/A,TRUE,"Assumptions";"Cash Flow",#N/A,TRUE,"Cash Flow";"Profit and Loss",#N/A,TRUE,"Profit and Loss";"Balance Sheet",#N/A,TRUE,"Balance Sheet";"Operating Expenditure",#N/A,TRUE,"Operational Expenditure";"Preoperating Expenditure",#N/A,TRUE,"Pre-operating Expenditure";"Revenue",#N/A,TRUE,"Revenue";"Senior Debt",#N/A,TRUE,"Senior Debt";"Subordinated Debt",#N/A,TRUE,"Subordinated Debt";"Debt Service",#N/A,TRUE,"Debt Service";"Depreciation",#N/A,TRUE,"Depreciation charges";"Taxation",#N/A,TRUE,"Taxation";"Dividends",#N/A,TRUE,"Dividends";"Inputs",#N/A,TRUE,"Inputs"}</definedName>
    <definedName name="A_GuV" hidden="1">{"Title",#N/A,TRUE,"Title";"Assumptions",#N/A,TRUE,"Assumptions";"Cash Flow",#N/A,TRUE,"Cash Flow";"Profit and Loss",#N/A,TRUE,"Profit and Loss";"Balance Sheet",#N/A,TRUE,"Balance Sheet";"Operating Expenditure",#N/A,TRUE,"Operational Expenditure";"Preoperating Expenditure",#N/A,TRUE,"Pre-operating Expenditure";"Revenue",#N/A,TRUE,"Revenue";"Senior Debt",#N/A,TRUE,"Senior Debt";"Subordinated Debt",#N/A,TRUE,"Subordinated Debt";"Debt Service",#N/A,TRUE,"Debt Service";"Depreciation",#N/A,TRUE,"Depreciation charges";"Taxation",#N/A,TRUE,"Taxation";"Dividends",#N/A,TRUE,"Dividends";"Inputs",#N/A,TRUE,"Inputs"}</definedName>
    <definedName name="A_GuV_AW" localSheetId="3" hidden="1">{"Title",#N/A,TRUE,"Title";"Assumptions",#N/A,TRUE,"Assumptions";"Cash Flow",#N/A,TRUE,"Cash Flow";"Profit and Loss",#N/A,TRUE,"Profit and Loss";"Balance Sheet",#N/A,TRUE,"Balance Sheet";"Operating Expenditure",#N/A,TRUE,"Operational Expenditure";"Preoperating Expenditure",#N/A,TRUE,"Pre-operating Expenditure";"Revenue",#N/A,TRUE,"Revenue";"Senior Debt",#N/A,TRUE,"Senior Debt";"Subordinated Debt",#N/A,TRUE,"Subordinated Debt";"Debt Service",#N/A,TRUE,"Debt Service";"Depreciation",#N/A,TRUE,"Depreciation charges";"Taxation",#N/A,TRUE,"Taxation";"Dividends",#N/A,TRUE,"Dividends";"Inputs",#N/A,TRUE,"Inputs"}</definedName>
    <definedName name="A_GuV_AW" hidden="1">{"Title",#N/A,TRUE,"Title";"Assumptions",#N/A,TRUE,"Assumptions";"Cash Flow",#N/A,TRUE,"Cash Flow";"Profit and Loss",#N/A,TRUE,"Profit and Loss";"Balance Sheet",#N/A,TRUE,"Balance Sheet";"Operating Expenditure",#N/A,TRUE,"Operational Expenditure";"Preoperating Expenditure",#N/A,TRUE,"Pre-operating Expenditure";"Revenue",#N/A,TRUE,"Revenue";"Senior Debt",#N/A,TRUE,"Senior Debt";"Subordinated Debt",#N/A,TRUE,"Subordinated Debt";"Debt Service",#N/A,TRUE,"Debt Service";"Depreciation",#N/A,TRUE,"Depreciation charges";"Taxation",#N/A,TRUE,"Taxation";"Dividends",#N/A,TRUE,"Dividends";"Inputs",#N/A,TRUE,"Inputs"}</definedName>
    <definedName name="aa">'[3]0-Basic'!#REF!</definedName>
    <definedName name="aaa">'[3]0-Basic'!#REF!</definedName>
    <definedName name="aaaa">'[2]0-Basic'!#REF!</definedName>
    <definedName name="April_02" localSheetId="3">#REF!</definedName>
    <definedName name="April_02">#REF!</definedName>
    <definedName name="August_02" localSheetId="3">#REF!</definedName>
    <definedName name="August_02">#REF!</definedName>
    <definedName name="BACK_A" localSheetId="3">#REF!</definedName>
    <definedName name="BACK_A">#REF!</definedName>
    <definedName name="Budget_2005average" localSheetId="7">'[2]0-Basic'!#REF!</definedName>
    <definedName name="Budget_2005average" localSheetId="8">'[2]0-Basic'!#REF!</definedName>
    <definedName name="Budget_2005average" localSheetId="3">'[2]0-Basic'!#REF!</definedName>
    <definedName name="Budget_2005average">'[2]0-Basic'!#REF!</definedName>
    <definedName name="Budget_2005closing" localSheetId="7">'[2]0-Basic'!#REF!</definedName>
    <definedName name="Budget_2005closing" localSheetId="8">'[2]0-Basic'!#REF!</definedName>
    <definedName name="Budget_2005closing" localSheetId="3">'[2]0-Basic'!#REF!</definedName>
    <definedName name="Budget_2005closing">'[2]0-Basic'!#REF!</definedName>
    <definedName name="Company">'[3]0-Basic'!$B$3</definedName>
    <definedName name="Country">'[3]0-Basic'!$B$2</definedName>
    <definedName name="Currency">'[3]0-Basic'!$B$4</definedName>
    <definedName name="December_02" localSheetId="3">#REF!</definedName>
    <definedName name="December_02">#REF!</definedName>
    <definedName name="Estimé_3_2001" localSheetId="7">'[3]0-Basic'!#REF!</definedName>
    <definedName name="Estimé_3_2001" localSheetId="8">'[3]0-Basic'!#REF!</definedName>
    <definedName name="Estimé_3_2001" localSheetId="3">'[3]0-Basic'!#REF!</definedName>
    <definedName name="Estimé_3_2001">'[3]0-Basic'!#REF!</definedName>
    <definedName name="Estimé_3_2002" localSheetId="7">'[3]0-Basic'!#REF!</definedName>
    <definedName name="Estimé_3_2002" localSheetId="8">'[3]0-Basic'!#REF!</definedName>
    <definedName name="Estimé_3_2002" localSheetId="3">'[3]0-Basic'!#REF!</definedName>
    <definedName name="Estimé_3_2002">'[3]0-Basic'!#REF!</definedName>
    <definedName name="Euro_estimé2_2001" localSheetId="7">'[3]0-Basic'!#REF!</definedName>
    <definedName name="Euro_estimé2_2001" localSheetId="8">'[3]0-Basic'!#REF!</definedName>
    <definedName name="Euro_estimé2_2001" localSheetId="3">'[3]0-Basic'!#REF!</definedName>
    <definedName name="Euro_estimé2_2001">'[3]0-Basic'!#REF!</definedName>
    <definedName name="Euro1">#REF!</definedName>
    <definedName name="Euro10">#REF!</definedName>
    <definedName name="Euro11">#REF!</definedName>
    <definedName name="Euro12">#REF!</definedName>
    <definedName name="Euro2">#REF!</definedName>
    <definedName name="Euro2000clôture" localSheetId="7">'[3]0-Basic'!#REF!</definedName>
    <definedName name="Euro2000clôture" localSheetId="8">'[3]0-Basic'!#REF!</definedName>
    <definedName name="Euro2000clôture" localSheetId="3">'[3]0-Basic'!#REF!</definedName>
    <definedName name="Euro2000clôture">'[3]0-Basic'!#REF!</definedName>
    <definedName name="Euro2000Moyen" localSheetId="7">'[3]0-Basic'!#REF!</definedName>
    <definedName name="Euro2000Moyen" localSheetId="8">'[3]0-Basic'!#REF!</definedName>
    <definedName name="Euro2000Moyen" localSheetId="3">'[3]0-Basic'!#REF!</definedName>
    <definedName name="Euro2000Moyen">'[3]0-Basic'!#REF!</definedName>
    <definedName name="Euro3">#REF!</definedName>
    <definedName name="Euro310303average" localSheetId="7">'[2]0-Basic'!#REF!</definedName>
    <definedName name="Euro310303average" localSheetId="8">'[2]0-Basic'!#REF!</definedName>
    <definedName name="Euro310303average" localSheetId="3">'[2]0-Basic'!#REF!</definedName>
    <definedName name="Euro310303average">'[2]0-Basic'!#REF!</definedName>
    <definedName name="Euro310303closing" localSheetId="7">'[2]0-Basic'!#REF!</definedName>
    <definedName name="Euro310303closing" localSheetId="8">'[2]0-Basic'!#REF!</definedName>
    <definedName name="Euro310303closing" localSheetId="3">'[2]0-Basic'!#REF!</definedName>
    <definedName name="Euro310303closing">'[2]0-Basic'!#REF!</definedName>
    <definedName name="Euro310304average" localSheetId="7">'[2]0-Basic'!#REF!</definedName>
    <definedName name="Euro310304average" localSheetId="8">'[2]0-Basic'!#REF!</definedName>
    <definedName name="Euro310304average" localSheetId="3">'[2]0-Basic'!#REF!</definedName>
    <definedName name="Euro310304average">'[2]0-Basic'!#REF!</definedName>
    <definedName name="Euro310304closing" localSheetId="7">'[2]0-Basic'!#REF!</definedName>
    <definedName name="Euro310304closing" localSheetId="8">'[2]0-Basic'!#REF!</definedName>
    <definedName name="Euro310304closing" localSheetId="3">'[2]0-Basic'!#REF!</definedName>
    <definedName name="Euro310304closing">'[2]0-Basic'!#REF!</definedName>
    <definedName name="Euro4">#REF!</definedName>
    <definedName name="Euro5">#REF!</definedName>
    <definedName name="Euro6">#REF!</definedName>
    <definedName name="Euro7">#REF!</definedName>
    <definedName name="Euro8">#REF!</definedName>
    <definedName name="Euro9">#REF!</definedName>
    <definedName name="EuroActu_2_2004average" localSheetId="7">'[2]0-Basic'!#REF!</definedName>
    <definedName name="EuroActu_2_2004average" localSheetId="8">'[2]0-Basic'!#REF!</definedName>
    <definedName name="EuroActu_2_2004average" localSheetId="3">'[2]0-Basic'!#REF!</definedName>
    <definedName name="EuroActu_2_2004average">'[2]0-Basic'!#REF!</definedName>
    <definedName name="EuroActu_2_2004closing" localSheetId="7">'[2]0-Basic'!#REF!</definedName>
    <definedName name="EuroActu_2_2004closing" localSheetId="8">'[2]0-Basic'!#REF!</definedName>
    <definedName name="EuroActu_2_2004closing" localSheetId="3">'[2]0-Basic'!#REF!</definedName>
    <definedName name="EuroActu_2_2004closing">'[2]0-Basic'!#REF!</definedName>
    <definedName name="EuroActualaverage" localSheetId="7">'[2]0-Basic'!#REF!</definedName>
    <definedName name="EuroActualaverage" localSheetId="8">'[2]0-Basic'!#REF!</definedName>
    <definedName name="EuroActualaverage" localSheetId="3">'[2]0-Basic'!#REF!</definedName>
    <definedName name="EuroActualaverage">'[2]0-Basic'!#REF!</definedName>
    <definedName name="EuroActualclosing" localSheetId="7">'[2]0-Basic'!#REF!</definedName>
    <definedName name="EuroActualclosing" localSheetId="8">'[2]0-Basic'!#REF!</definedName>
    <definedName name="EuroActualclosing" localSheetId="3">'[2]0-Basic'!#REF!</definedName>
    <definedName name="EuroActualclosing">'[2]0-Basic'!#REF!</definedName>
    <definedName name="EuroaverageB04">'[6]€'!$E$91</definedName>
    <definedName name="EuroB03average" localSheetId="7">'[2]0-Basic'!#REF!</definedName>
    <definedName name="EuroB03average" localSheetId="8">'[2]0-Basic'!#REF!</definedName>
    <definedName name="EuroB03average" localSheetId="3">'[2]0-Basic'!#REF!</definedName>
    <definedName name="EuroB03average">'[2]0-Basic'!#REF!</definedName>
    <definedName name="EuroB03closing" localSheetId="7">'[2]0-Basic'!#REF!</definedName>
    <definedName name="EuroB03closing" localSheetId="8">'[2]0-Basic'!#REF!</definedName>
    <definedName name="EuroB03closing" localSheetId="3">'[2]0-Basic'!#REF!</definedName>
    <definedName name="EuroB03closing">'[2]0-Basic'!#REF!</definedName>
    <definedName name="EuroB2002average" localSheetId="7">'[2]0-Basic'!#REF!</definedName>
    <definedName name="EuroB2002average" localSheetId="8">'[2]0-Basic'!#REF!</definedName>
    <definedName name="EuroB2002average" localSheetId="3">'[2]0-Basic'!#REF!</definedName>
    <definedName name="EuroB2002average">'[2]0-Basic'!#REF!</definedName>
    <definedName name="EuroB2002closing" localSheetId="7">'[2]0-Basic'!#REF!</definedName>
    <definedName name="EuroB2002closing" localSheetId="8">'[2]0-Basic'!#REF!</definedName>
    <definedName name="EuroB2002closing" localSheetId="3">'[2]0-Basic'!#REF!</definedName>
    <definedName name="EuroB2002closing">'[2]0-Basic'!#REF!</definedName>
    <definedName name="EuroB2003average" localSheetId="7">'[2]0-Basic'!#REF!</definedName>
    <definedName name="EuroB2003average" localSheetId="8">'[2]0-Basic'!#REF!</definedName>
    <definedName name="EuroB2003average" localSheetId="3">'[2]0-Basic'!#REF!</definedName>
    <definedName name="EuroB2003average">'[2]0-Basic'!#REF!</definedName>
    <definedName name="EuroB2003closing" localSheetId="7">'[2]0-Basic'!#REF!</definedName>
    <definedName name="EuroB2003closing" localSheetId="8">'[2]0-Basic'!#REF!</definedName>
    <definedName name="EuroB2003closing" localSheetId="3">'[2]0-Basic'!#REF!</definedName>
    <definedName name="EuroB2003closing">'[2]0-Basic'!#REF!</definedName>
    <definedName name="EuroB2004average" localSheetId="7">'[2]0-Basic'!#REF!</definedName>
    <definedName name="EuroB2004average" localSheetId="8">'[2]0-Basic'!#REF!</definedName>
    <definedName name="EuroB2004average" localSheetId="3">'[2]0-Basic'!#REF!</definedName>
    <definedName name="EuroB2004average">'[2]0-Basic'!#REF!</definedName>
    <definedName name="EuroB2004closing" localSheetId="7">'[2]0-Basic'!#REF!</definedName>
    <definedName name="EuroB2004closing" localSheetId="8">'[2]0-Basic'!#REF!</definedName>
    <definedName name="EuroB2004closing" localSheetId="3">'[2]0-Basic'!#REF!</definedName>
    <definedName name="EuroB2004closing">'[2]0-Basic'!#REF!</definedName>
    <definedName name="EuroB2005average" localSheetId="7">'[2]0-Basic'!#REF!</definedName>
    <definedName name="EuroB2005average" localSheetId="8">'[2]0-Basic'!#REF!</definedName>
    <definedName name="EuroB2005average" localSheetId="3">'[2]0-Basic'!#REF!</definedName>
    <definedName name="EuroB2005average">'[2]0-Basic'!#REF!</definedName>
    <definedName name="EuroB2005closing" localSheetId="7">'[2]0-Basic'!#REF!</definedName>
    <definedName name="EuroB2005closing" localSheetId="8">'[2]0-Basic'!#REF!</definedName>
    <definedName name="EuroB2005closing" localSheetId="3">'[2]0-Basic'!#REF!</definedName>
    <definedName name="EuroB2005closing">'[2]0-Basic'!#REF!</definedName>
    <definedName name="EuroBN1average" localSheetId="7">'[2]0-Basic'!#REF!</definedName>
    <definedName name="EuroBN1average" localSheetId="8">'[2]0-Basic'!#REF!</definedName>
    <definedName name="EuroBN1average" localSheetId="3">'[2]0-Basic'!#REF!</definedName>
    <definedName name="EuroBN1average">'[2]0-Basic'!#REF!</definedName>
    <definedName name="EuroBN1closing" localSheetId="7">'[2]0-Basic'!#REF!</definedName>
    <definedName name="EuroBN1closing" localSheetId="8">'[2]0-Basic'!#REF!</definedName>
    <definedName name="EuroBN1closing" localSheetId="3">'[2]0-Basic'!#REF!</definedName>
    <definedName name="EuroBN1closing">'[2]0-Basic'!#REF!</definedName>
    <definedName name="EuroBN2average" localSheetId="7">'[2]0-Basic'!#REF!</definedName>
    <definedName name="EuroBN2average" localSheetId="8">'[2]0-Basic'!#REF!</definedName>
    <definedName name="EuroBN2average" localSheetId="3">'[2]0-Basic'!#REF!</definedName>
    <definedName name="EuroBN2average">'[2]0-Basic'!#REF!</definedName>
    <definedName name="EuroBN2closing" localSheetId="7">'[2]0-Basic'!#REF!</definedName>
    <definedName name="EuroBN2closing" localSheetId="8">'[2]0-Basic'!#REF!</definedName>
    <definedName name="EuroBN2closing" localSheetId="3">'[2]0-Basic'!#REF!</definedName>
    <definedName name="EuroBN2closing">'[2]0-Basic'!#REF!</definedName>
    <definedName name="EuroBN3average" localSheetId="7">'[2]0-Basic'!#REF!</definedName>
    <definedName name="EuroBN3average" localSheetId="8">'[2]0-Basic'!#REF!</definedName>
    <definedName name="EuroBN3average" localSheetId="3">'[2]0-Basic'!#REF!</definedName>
    <definedName name="EuroBN3average">'[2]0-Basic'!#REF!</definedName>
    <definedName name="EuroBN3closing" localSheetId="7">'[2]0-Basic'!#REF!</definedName>
    <definedName name="EuroBN3closing" localSheetId="8">'[2]0-Basic'!#REF!</definedName>
    <definedName name="EuroBN3closing" localSheetId="3">'[2]0-Basic'!#REF!</definedName>
    <definedName name="EuroBN3closing">'[2]0-Basic'!#REF!</definedName>
    <definedName name="EuroBNaverage" localSheetId="7">'[2]0-Basic'!#REF!</definedName>
    <definedName name="EuroBNaverage" localSheetId="8">'[2]0-Basic'!#REF!</definedName>
    <definedName name="EuroBNaverage" localSheetId="3">'[2]0-Basic'!#REF!</definedName>
    <definedName name="EuroBNaverage">'[2]0-Basic'!#REF!</definedName>
    <definedName name="EuroBNclosing" localSheetId="7">'[2]0-Basic'!#REF!</definedName>
    <definedName name="EuroBNclosing" localSheetId="8">'[2]0-Basic'!#REF!</definedName>
    <definedName name="EuroBNclosing" localSheetId="3">'[2]0-Basic'!#REF!</definedName>
    <definedName name="EuroBNclosing">'[2]0-Basic'!#REF!</definedName>
    <definedName name="EuroBudget_2002" localSheetId="7">'[3]0-Basic'!#REF!</definedName>
    <definedName name="EuroBudget_2002" localSheetId="8">'[3]0-Basic'!#REF!</definedName>
    <definedName name="EuroBudget_2002" localSheetId="3">'[3]0-Basic'!#REF!</definedName>
    <definedName name="EuroBudget_2002">'[3]0-Basic'!#REF!</definedName>
    <definedName name="EuroBudget_2004average" localSheetId="7">'[2]0-Basic'!#REF!</definedName>
    <definedName name="EuroBudget_2004average" localSheetId="8">'[2]0-Basic'!#REF!</definedName>
    <definedName name="EuroBudget_2004average" localSheetId="3">'[2]0-Basic'!#REF!</definedName>
    <definedName name="EuroBudget_2004average">'[2]0-Basic'!#REF!</definedName>
    <definedName name="EuroBudget_2004closing" localSheetId="7">'[2]0-Basic'!#REF!</definedName>
    <definedName name="EuroBudget_2004closing" localSheetId="8">'[2]0-Basic'!#REF!</definedName>
    <definedName name="EuroBudget_2004closing" localSheetId="3">'[2]0-Basic'!#REF!</definedName>
    <definedName name="EuroBudget_2004closing">'[2]0-Basic'!#REF!</definedName>
    <definedName name="Eurobudget2001" localSheetId="7">'[3]0-Basic'!#REF!</definedName>
    <definedName name="Eurobudget2001" localSheetId="8">'[3]0-Basic'!#REF!</definedName>
    <definedName name="Eurobudget2001" localSheetId="3">'[3]0-Basic'!#REF!</definedName>
    <definedName name="Eurobudget2001">'[3]0-Basic'!#REF!</definedName>
    <definedName name="Eurobudgetaverage" localSheetId="7">'[7]0-Basic'!#REF!</definedName>
    <definedName name="Eurobudgetaverage" localSheetId="8">'[7]0-Basic'!#REF!</definedName>
    <definedName name="Eurobudgetaverage" localSheetId="3">'[7]0-Basic'!#REF!</definedName>
    <definedName name="Eurobudgetaverage">'[7]0-Basic'!#REF!</definedName>
    <definedName name="Eurobudgetclosing" localSheetId="7">'[7]0-Basic'!#REF!</definedName>
    <definedName name="Eurobudgetclosing" localSheetId="8">'[7]0-Basic'!#REF!</definedName>
    <definedName name="Eurobudgetclosing" localSheetId="3">'[7]0-Basic'!#REF!</definedName>
    <definedName name="Eurobudgetclosing">'[7]0-Basic'!#REF!</definedName>
    <definedName name="EuroclosingA32003">'[6]€'!$G$92</definedName>
    <definedName name="EuroclosingB04">'[6]€'!$E$92</definedName>
    <definedName name="Euroestimé2001" localSheetId="7">'[3]0-Basic'!#REF!</definedName>
    <definedName name="Euroestimé2001" localSheetId="8">'[3]0-Basic'!#REF!</definedName>
    <definedName name="Euroestimé2001" localSheetId="3">'[3]0-Basic'!#REF!</definedName>
    <definedName name="Euroestimé2001">'[3]0-Basic'!#REF!</definedName>
    <definedName name="Euroestimé22001">'[8]0-Basic'!$E$18</definedName>
    <definedName name="EuroF1average" localSheetId="7">'[2]0-Basic'!#REF!</definedName>
    <definedName name="EuroF1average" localSheetId="8">'[2]0-Basic'!#REF!</definedName>
    <definedName name="EuroF1average" localSheetId="3">'[2]0-Basic'!#REF!</definedName>
    <definedName name="EuroF1average">'[2]0-Basic'!#REF!</definedName>
    <definedName name="EuroF1closing" localSheetId="7">'[2]0-Basic'!#REF!</definedName>
    <definedName name="EuroF1closing" localSheetId="8">'[2]0-Basic'!#REF!</definedName>
    <definedName name="EuroF1closing" localSheetId="3">'[2]0-Basic'!#REF!</definedName>
    <definedName name="EuroF1closing">'[2]0-Basic'!#REF!</definedName>
    <definedName name="EuroF2average" localSheetId="7">'[2]0-Basic'!#REF!</definedName>
    <definedName name="EuroF2average" localSheetId="8">'[2]0-Basic'!#REF!</definedName>
    <definedName name="EuroF2average" localSheetId="3">'[2]0-Basic'!#REF!</definedName>
    <definedName name="EuroF2average">'[2]0-Basic'!#REF!</definedName>
    <definedName name="EuroF2closing" localSheetId="7">'[2]0-Basic'!#REF!</definedName>
    <definedName name="EuroF2closing" localSheetId="8">'[2]0-Basic'!#REF!</definedName>
    <definedName name="EuroF2closing" localSheetId="3">'[2]0-Basic'!#REF!</definedName>
    <definedName name="EuroF2closing">'[2]0-Basic'!#REF!</definedName>
    <definedName name="EuroF3average" localSheetId="7">'[2]0-Basic'!#REF!</definedName>
    <definedName name="EuroF3average" localSheetId="8">'[2]0-Basic'!#REF!</definedName>
    <definedName name="EuroF3average" localSheetId="3">'[2]0-Basic'!#REF!</definedName>
    <definedName name="EuroF3average">'[2]0-Basic'!#REF!</definedName>
    <definedName name="EuroF3closing" localSheetId="7">'[2]0-Basic'!#REF!</definedName>
    <definedName name="EuroF3closing" localSheetId="8">'[2]0-Basic'!#REF!</definedName>
    <definedName name="EuroF3closing" localSheetId="3">'[2]0-Basic'!#REF!</definedName>
    <definedName name="EuroF3closing">'[2]0-Basic'!#REF!</definedName>
    <definedName name="eurofinpériode" localSheetId="7">'[3]0-Basic'!#REF!</definedName>
    <definedName name="eurofinpériode" localSheetId="8">'[3]0-Basic'!#REF!</definedName>
    <definedName name="eurofinpériode" localSheetId="3">'[3]0-Basic'!#REF!</definedName>
    <definedName name="eurofinpériode">'[3]0-Basic'!#REF!</definedName>
    <definedName name="EuroPlan_2003" localSheetId="7">'[3]0-Basic'!#REF!</definedName>
    <definedName name="EuroPlan_2003" localSheetId="8">'[3]0-Basic'!#REF!</definedName>
    <definedName name="EuroPlan_2003" localSheetId="3">'[3]0-Basic'!#REF!</definedName>
    <definedName name="EuroPlan_2003">'[3]0-Basic'!#REF!</definedName>
    <definedName name="EuroPlan_2004" localSheetId="7">'[3]0-Basic'!#REF!</definedName>
    <definedName name="EuroPlan_2004" localSheetId="8">'[3]0-Basic'!#REF!</definedName>
    <definedName name="EuroPlan_2004" localSheetId="3">'[3]0-Basic'!#REF!</definedName>
    <definedName name="EuroPlan_2004">'[3]0-Basic'!#REF!</definedName>
    <definedName name="EuroR03average" localSheetId="7">'[2]0-Basic'!#REF!</definedName>
    <definedName name="EuroR03average" localSheetId="8">'[2]0-Basic'!#REF!</definedName>
    <definedName name="EuroR03average" localSheetId="3">'[2]0-Basic'!#REF!</definedName>
    <definedName name="EuroR03average">'[2]0-Basic'!#REF!</definedName>
    <definedName name="EuroR2003closing" localSheetId="7">'[2]0-Basic'!#REF!</definedName>
    <definedName name="EuroR2003closing" localSheetId="8">'[2]0-Basic'!#REF!</definedName>
    <definedName name="EuroR2003closing" localSheetId="3">'[2]0-Basic'!#REF!</definedName>
    <definedName name="EuroR2003closing">'[2]0-Basic'!#REF!</definedName>
    <definedName name="Eurosemestre1_2001" localSheetId="7">'[3]0-Basic'!#REF!</definedName>
    <definedName name="Eurosemestre1_2001" localSheetId="8">'[3]0-Basic'!#REF!</definedName>
    <definedName name="Eurosemestre1_2001" localSheetId="3">'[3]0-Basic'!#REF!</definedName>
    <definedName name="Eurosemestre1_2001">'[3]0-Basic'!#REF!</definedName>
    <definedName name="July_02" localSheetId="3">#REF!</definedName>
    <definedName name="July_02">#REF!</definedName>
    <definedName name="June_02" localSheetId="3">#REF!</definedName>
    <definedName name="June_02">#REF!</definedName>
    <definedName name="l">#REF!</definedName>
    <definedName name="March_02" localSheetId="3">#REF!</definedName>
    <definedName name="March_02">#REF!</definedName>
    <definedName name="May_02" localSheetId="3">#REF!</definedName>
    <definedName name="May_02">#REF!</definedName>
    <definedName name="mois">#REF!</definedName>
    <definedName name="month">'[10]variables'!$B$6</definedName>
    <definedName name="_xlnm.Print_Titles" localSheetId="7">'kalkulace jen čištění'!$A:$C,'kalkulace jen čištění'!$13:$13</definedName>
    <definedName name="_xlnm.Print_Titles" localSheetId="8">'kalkulace jen odvádění'!$A:$C,'kalkulace jen odvádění'!$13:$13</definedName>
    <definedName name="_xlnm.Print_Titles" localSheetId="0">'Nájemné'!$A:$B,'Nájemné'!#REF!</definedName>
    <definedName name="_xlnm.Print_Titles" localSheetId="6">'původní kalkulace'!$A:$C,'původní kalkulace'!$13:$13</definedName>
    <definedName name="November_02" localSheetId="3">#REF!</definedName>
    <definedName name="November_02">#REF!</definedName>
    <definedName name="_xlnm.Print_Area" localSheetId="10">'dvousl. - vdm.'!$A$1:$O$126</definedName>
    <definedName name="_xlnm.Print_Area" localSheetId="2">'jednosložkové'!$B$1:$K$36</definedName>
    <definedName name="_xlnm.Print_Area" localSheetId="7">'kalkulace jen čištění'!$A$1:$G$76</definedName>
    <definedName name="_xlnm.Print_Area" localSheetId="8">'kalkulace jen odvádění'!$A$1:$G$76</definedName>
    <definedName name="_xlnm.Print_Area" localSheetId="0">'Nájemné'!#REF!</definedName>
    <definedName name="_xlnm.Print_Area" localSheetId="9">'pevná složka'!$A$1:$J$16</definedName>
    <definedName name="_xlnm.Print_Area" localSheetId="4">'Prezentace'!$A$1:$E$55</definedName>
    <definedName name="_xlnm.Print_Area" localSheetId="6">'původní kalkulace'!$A$1:$G$76</definedName>
    <definedName name="October_02" localSheetId="3">#REF!</definedName>
    <definedName name="October_02">#REF!</definedName>
    <definedName name="opisaerzt" localSheetId="3" hidden="1">{"Title",#N/A,TRUE,"Title";"Assumptions",#N/A,TRUE,"Assumptions";"Cash Flow",#N/A,TRUE,"Cash Flow";"Profit and Loss",#N/A,TRUE,"Profit and Loss";"Balance Sheet",#N/A,TRUE,"Balance Sheet";"Operating Expenditure",#N/A,TRUE,"Operational Expenditure";"Preoperating Expenditure",#N/A,TRUE,"Pre-operating Expenditure";"Revenue",#N/A,TRUE,"Revenue";"Senior Debt",#N/A,TRUE,"Senior Debt";"Subordinated Debt",#N/A,TRUE,"Subordinated Debt";"Debt Service",#N/A,TRUE,"Debt Service";"Depreciation",#N/A,TRUE,"Depreciation charges";"Taxation",#N/A,TRUE,"Taxation";"Dividends",#N/A,TRUE,"Dividends";"Inputs",#N/A,TRUE,"Inputs"}</definedName>
    <definedName name="opisaerzt" hidden="1">{"Title",#N/A,TRUE,"Title";"Assumptions",#N/A,TRUE,"Assumptions";"Cash Flow",#N/A,TRUE,"Cash Flow";"Profit and Loss",#N/A,TRUE,"Profit and Loss";"Balance Sheet",#N/A,TRUE,"Balance Sheet";"Operating Expenditure",#N/A,TRUE,"Operational Expenditure";"Preoperating Expenditure",#N/A,TRUE,"Pre-operating Expenditure";"Revenue",#N/A,TRUE,"Revenue";"Senior Debt",#N/A,TRUE,"Senior Debt";"Subordinated Debt",#N/A,TRUE,"Subordinated Debt";"Debt Service",#N/A,TRUE,"Debt Service";"Depreciation",#N/A,TRUE,"Depreciation charges";"Taxation",#N/A,TRUE,"Taxation";"Dividends",#N/A,TRUE,"Dividends";"Inputs",#N/A,TRUE,"Inputs"}</definedName>
    <definedName name="PFPRICE2" localSheetId="3">#REF!</definedName>
    <definedName name="PFPRICE2">#REF!</definedName>
    <definedName name="Plan_2006average" localSheetId="7">'[2]0-Basic'!#REF!</definedName>
    <definedName name="Plan_2006average" localSheetId="8">'[2]0-Basic'!#REF!</definedName>
    <definedName name="Plan_2006average" localSheetId="3">'[2]0-Basic'!#REF!</definedName>
    <definedName name="Plan_2006average">'[2]0-Basic'!#REF!</definedName>
    <definedName name="Plan_2006closing" localSheetId="7">'[2]0-Basic'!#REF!</definedName>
    <definedName name="Plan_2006closing" localSheetId="8">'[2]0-Basic'!#REF!</definedName>
    <definedName name="Plan_2006closing" localSheetId="3">'[2]0-Basic'!#REF!</definedName>
    <definedName name="Plan_2006closing">'[2]0-Basic'!#REF!</definedName>
    <definedName name="Plan_2007average" localSheetId="7">'[2]0-Basic'!#REF!</definedName>
    <definedName name="Plan_2007average" localSheetId="8">'[2]0-Basic'!#REF!</definedName>
    <definedName name="Plan_2007average" localSheetId="3">'[2]0-Basic'!#REF!</definedName>
    <definedName name="Plan_2007average">'[2]0-Basic'!#REF!</definedName>
    <definedName name="Plan2007closing" localSheetId="7">'[2]0-Basic'!#REF!</definedName>
    <definedName name="Plan2007closing" localSheetId="8">'[2]0-Basic'!#REF!</definedName>
    <definedName name="Plan2007closing" localSheetId="3">'[2]0-Basic'!#REF!</definedName>
    <definedName name="Plan2007closing">'[2]0-Basic'!#REF!</definedName>
    <definedName name="RETURN" localSheetId="3">#REF!</definedName>
    <definedName name="RETURN">#REF!</definedName>
    <definedName name="Roic" localSheetId="3">#REF!</definedName>
    <definedName name="Roic">#REF!</definedName>
    <definedName name="sencount" hidden="1">1</definedName>
    <definedName name="seznam_kategorii">'[11]Settings'!$P$50:$P$54</definedName>
    <definedName name="seznam_obdobi">'[11]Settings'!$J49:$J62</definedName>
    <definedName name="seznam_spolecnosti">'[11]Settings'!$A$50:$A$82</definedName>
    <definedName name="seznam_spolecnosti_vsech">'[12]Settings'!$A$50:$A$102</definedName>
    <definedName name="wrn.All._.Pages." localSheetId="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Worcester._.Model._._._.Full." localSheetId="3" hidden="1">{"Title",#N/A,TRUE,"Title";"Assumptions",#N/A,TRUE,"Assumptions";"Cash Flow",#N/A,TRUE,"Cash Flow";"Profit and Loss",#N/A,TRUE,"Profit and Loss";"Balance Sheet",#N/A,TRUE,"Balance Sheet";"Operating Expenditure",#N/A,TRUE,"Operational Expenditure";"Preoperating Expenditure",#N/A,TRUE,"Pre-operating Expenditure";"Revenue",#N/A,TRUE,"Revenue";"Senior Debt",#N/A,TRUE,"Senior Debt";"Subordinated Debt",#N/A,TRUE,"Subordinated Debt";"Debt Service",#N/A,TRUE,"Debt Service";"Depreciation",#N/A,TRUE,"Depreciation charges";"Taxation",#N/A,TRUE,"Taxation";"Dividends",#N/A,TRUE,"Dividends";"Inputs",#N/A,TRUE,"Inputs"}</definedName>
    <definedName name="wrn.Worcester._.Model._._._.Full." hidden="1">{"Title",#N/A,TRUE,"Title";"Assumptions",#N/A,TRUE,"Assumptions";"Cash Flow",#N/A,TRUE,"Cash Flow";"Profit and Loss",#N/A,TRUE,"Profit and Loss";"Balance Sheet",#N/A,TRUE,"Balance Sheet";"Operating Expenditure",#N/A,TRUE,"Operational Expenditure";"Preoperating Expenditure",#N/A,TRUE,"Pre-operating Expenditure";"Revenue",#N/A,TRUE,"Revenue";"Senior Debt",#N/A,TRUE,"Senior Debt";"Subordinated Debt",#N/A,TRUE,"Subordinated Debt";"Debt Service",#N/A,TRUE,"Debt Service";"Depreciation",#N/A,TRUE,"Depreciation charges";"Taxation",#N/A,TRUE,"Taxation";"Dividends",#N/A,TRUE,"Dividends";"Inputs",#N/A,TRUE,"Inputs"}</definedName>
    <definedName name="www" localSheetId="3" hidden="1">{"Title",#N/A,TRUE,"Title";"Assumptions",#N/A,TRUE,"Assumptions";"Cash Flow",#N/A,TRUE,"Cash Flow";"Profit and Loss",#N/A,TRUE,"Profit and Loss";"Balance Sheet",#N/A,TRUE,"Balance Sheet";"Operating Expenditure",#N/A,TRUE,"Operational Expenditure";"Preoperating Expenditure",#N/A,TRUE,"Pre-operating Expenditure";"Revenue",#N/A,TRUE,"Revenue";"Senior Debt",#N/A,TRUE,"Senior Debt";"Subordinated Debt",#N/A,TRUE,"Subordinated Debt";"Debt Service",#N/A,TRUE,"Debt Service";"Depreciation",#N/A,TRUE,"Depreciation charges";"Taxation",#N/A,TRUE,"Taxation";"Dividends",#N/A,TRUE,"Dividends";"Inputs",#N/A,TRUE,"Inputs"}</definedName>
    <definedName name="www" hidden="1">{"Title",#N/A,TRUE,"Title";"Assumptions",#N/A,TRUE,"Assumptions";"Cash Flow",#N/A,TRUE,"Cash Flow";"Profit and Loss",#N/A,TRUE,"Profit and Loss";"Balance Sheet",#N/A,TRUE,"Balance Sheet";"Operating Expenditure",#N/A,TRUE,"Operational Expenditure";"Preoperating Expenditure",#N/A,TRUE,"Pre-operating Expenditure";"Revenue",#N/A,TRUE,"Revenue";"Senior Debt",#N/A,TRUE,"Senior Debt";"Subordinated Debt",#N/A,TRUE,"Subordinated Debt";"Debt Service",#N/A,TRUE,"Debt Service";"Depreciation",#N/A,TRUE,"Depreciation charges";"Taxation",#N/A,TRUE,"Taxation";"Dividends",#N/A,TRUE,"Dividends";"Inputs",#N/A,TRUE,"Inputs"}</definedName>
    <definedName name="x" localSheetId="3">#REF!</definedName>
    <definedName name="x">#REF!</definedName>
    <definedName name="xxx">'[13]Devises'!$E$71</definedName>
    <definedName name="xxxxx" localSheetId="3" hidden="1">{"Title",#N/A,TRUE,"Title";"Assumptions",#N/A,TRUE,"Assumptions";"Cash Flow",#N/A,TRUE,"Cash Flow";"Profit and Loss",#N/A,TRUE,"Profit and Loss";"Balance Sheet",#N/A,TRUE,"Balance Sheet";"Operating Expenditure",#N/A,TRUE,"Operational Expenditure";"Preoperating Expenditure",#N/A,TRUE,"Pre-operating Expenditure";"Revenue",#N/A,TRUE,"Revenue";"Senior Debt",#N/A,TRUE,"Senior Debt";"Subordinated Debt",#N/A,TRUE,"Subordinated Debt";"Debt Service",#N/A,TRUE,"Debt Service";"Depreciation",#N/A,TRUE,"Depreciation charges";"Taxation",#N/A,TRUE,"Taxation";"Dividends",#N/A,TRUE,"Dividends";"Inputs",#N/A,TRUE,"Inputs"}</definedName>
    <definedName name="xxxxx" hidden="1">{"Title",#N/A,TRUE,"Title";"Assumptions",#N/A,TRUE,"Assumptions";"Cash Flow",#N/A,TRUE,"Cash Flow";"Profit and Loss",#N/A,TRUE,"Profit and Loss";"Balance Sheet",#N/A,TRUE,"Balance Sheet";"Operating Expenditure",#N/A,TRUE,"Operational Expenditure";"Preoperating Expenditure",#N/A,TRUE,"Pre-operating Expenditure";"Revenue",#N/A,TRUE,"Revenue";"Senior Debt",#N/A,TRUE,"Senior Debt";"Subordinated Debt",#N/A,TRUE,"Subordinated Debt";"Debt Service",#N/A,TRUE,"Debt Service";"Depreciation",#N/A,TRUE,"Depreciation charges";"Taxation",#N/A,TRUE,"Taxation";"Dividends",#N/A,TRUE,"Dividends";"Inputs",#N/A,TRUE,"Inputs"}</definedName>
    <definedName name="xxxxxxxx" localSheetId="3" hidden="1">{"Title",#N/A,TRUE,"Title";"Assumptions",#N/A,TRUE,"Assumptions";"Cash Flow",#N/A,TRUE,"Cash Flow";"Profit and Loss",#N/A,TRUE,"Profit and Loss";"Balance Sheet",#N/A,TRUE,"Balance Sheet";"Operating Expenditure",#N/A,TRUE,"Operational Expenditure";"Preoperating Expenditure",#N/A,TRUE,"Pre-operating Expenditure";"Revenue",#N/A,TRUE,"Revenue";"Senior Debt",#N/A,TRUE,"Senior Debt";"Subordinated Debt",#N/A,TRUE,"Subordinated Debt";"Debt Service",#N/A,TRUE,"Debt Service";"Depreciation",#N/A,TRUE,"Depreciation charges";"Taxation",#N/A,TRUE,"Taxation";"Dividends",#N/A,TRUE,"Dividends";"Inputs",#N/A,TRUE,"Inputs"}</definedName>
    <definedName name="xxxxxxxx" hidden="1">{"Title",#N/A,TRUE,"Title";"Assumptions",#N/A,TRUE,"Assumptions";"Cash Flow",#N/A,TRUE,"Cash Flow";"Profit and Loss",#N/A,TRUE,"Profit and Loss";"Balance Sheet",#N/A,TRUE,"Balance Sheet";"Operating Expenditure",#N/A,TRUE,"Operational Expenditure";"Preoperating Expenditure",#N/A,TRUE,"Pre-operating Expenditure";"Revenue",#N/A,TRUE,"Revenue";"Senior Debt",#N/A,TRUE,"Senior Debt";"Subordinated Debt",#N/A,TRUE,"Subordinated Debt";"Debt Service",#N/A,TRUE,"Debt Service";"Depreciation",#N/A,TRUE,"Depreciation charges";"Taxation",#N/A,TRUE,"Taxation";"Dividends",#N/A,TRUE,"Dividends";"Inputs",#N/A,TRUE,"Inputs"}</definedName>
    <definedName name="y">'[14]Devises'!$I$77</definedName>
  </definedNames>
  <calcPr fullCalcOnLoad="1"/>
</workbook>
</file>

<file path=xl/sharedStrings.xml><?xml version="1.0" encoding="utf-8"?>
<sst xmlns="http://schemas.openxmlformats.org/spreadsheetml/2006/main" count="1075" uniqueCount="347">
  <si>
    <t>MANUÁL</t>
  </si>
  <si>
    <r>
      <t>Kč/m</t>
    </r>
    <r>
      <rPr>
        <vertAlign val="superscript"/>
        <sz val="12"/>
        <rFont val="Arial CE"/>
        <family val="0"/>
      </rPr>
      <t>3</t>
    </r>
  </si>
  <si>
    <t>počet</t>
  </si>
  <si>
    <t>fakturační  vodoměry</t>
  </si>
  <si>
    <t>z vodného</t>
  </si>
  <si>
    <t>ze stočného</t>
  </si>
  <si>
    <t>(bez DPH)</t>
  </si>
  <si>
    <r>
      <t>v</t>
    </r>
    <r>
      <rPr>
        <b/>
        <sz val="12"/>
        <rFont val="Arial CE"/>
        <family val="2"/>
      </rPr>
      <t>k =</t>
    </r>
  </si>
  <si>
    <r>
      <t>v</t>
    </r>
    <r>
      <rPr>
        <sz val="12"/>
        <rFont val="Arial CE"/>
        <family val="2"/>
      </rPr>
      <t>a =</t>
    </r>
  </si>
  <si>
    <r>
      <t>s</t>
    </r>
    <r>
      <rPr>
        <sz val="12"/>
        <rFont val="Arial CE"/>
        <family val="2"/>
      </rPr>
      <t>a =</t>
    </r>
  </si>
  <si>
    <t>iterace:</t>
  </si>
  <si>
    <t>V</t>
  </si>
  <si>
    <t>S</t>
  </si>
  <si>
    <t>VODNÉ</t>
  </si>
  <si>
    <t>bez DPH</t>
  </si>
  <si>
    <t>STOČNÉ</t>
  </si>
  <si>
    <t>REKAPITULACE</t>
  </si>
  <si>
    <r>
      <t>Kč/m</t>
    </r>
    <r>
      <rPr>
        <b/>
        <vertAlign val="superscript"/>
        <sz val="12"/>
        <rFont val="Arial CE"/>
        <family val="2"/>
      </rPr>
      <t>3</t>
    </r>
  </si>
  <si>
    <t>Ing. Ladislav Růžička, VaK KV 10/1992</t>
  </si>
  <si>
    <t>Ing. Ladislav Růžička, VaK KV, 04/2001</t>
  </si>
  <si>
    <t>KALKULACE JEDNOSLOŽKOVÉHO VODNÉHO A STOČNÉHO</t>
  </si>
  <si>
    <t>KALKULACE DVOUSLOŽKOVÉHO VODNÉHO A STOČNÉHO</t>
  </si>
  <si>
    <t>VODNÉ:</t>
  </si>
  <si>
    <t>STOČNÉ:</t>
  </si>
  <si>
    <t>POHYBLIVÁ SLOŽKA VODNÉHO:</t>
  </si>
  <si>
    <t>POHYBLIVÁ SLOŽKA STOČNÉHO:</t>
  </si>
  <si>
    <t>KALKULACE VODNÉHO A STOČNÉHO</t>
  </si>
  <si>
    <t>Kč/rok</t>
  </si>
  <si>
    <r>
      <t xml:space="preserve">Kč/rok    </t>
    </r>
    <r>
      <rPr>
        <b/>
        <sz val="12"/>
        <rFont val="Symbol"/>
        <family val="1"/>
      </rPr>
      <t>Ţ</t>
    </r>
  </si>
  <si>
    <r>
      <t xml:space="preserve">Kč/rok  </t>
    </r>
    <r>
      <rPr>
        <sz val="12"/>
        <rFont val="Symbol"/>
        <family val="1"/>
      </rPr>
      <t>Ţ</t>
    </r>
  </si>
  <si>
    <r>
      <t>m</t>
    </r>
    <r>
      <rPr>
        <b/>
        <vertAlign val="superscript"/>
        <sz val="12"/>
        <rFont val="Arial CE"/>
        <family val="2"/>
      </rPr>
      <t>3</t>
    </r>
    <r>
      <rPr>
        <b/>
        <sz val="12"/>
        <rFont val="Arial CE"/>
        <family val="2"/>
      </rPr>
      <t>/rok</t>
    </r>
  </si>
  <si>
    <t>celkem</t>
  </si>
  <si>
    <t>s DPH</t>
  </si>
  <si>
    <r>
      <t>Kč/m</t>
    </r>
    <r>
      <rPr>
        <vertAlign val="superscript"/>
        <sz val="10"/>
        <rFont val="Arial CE"/>
        <family val="2"/>
      </rPr>
      <t>3</t>
    </r>
  </si>
  <si>
    <r>
      <t>Kč/m</t>
    </r>
    <r>
      <rPr>
        <vertAlign val="superscript"/>
        <sz val="12"/>
        <rFont val="Arial CE"/>
        <family val="2"/>
      </rPr>
      <t>3</t>
    </r>
  </si>
  <si>
    <t>výnosy z pevných složek  [Kč/rok]</t>
  </si>
  <si>
    <r>
      <t>m</t>
    </r>
    <r>
      <rPr>
        <vertAlign val="superscript"/>
        <sz val="12"/>
        <rFont val="Arial CE"/>
        <family val="2"/>
      </rPr>
      <t>3</t>
    </r>
    <r>
      <rPr>
        <sz val="12"/>
        <rFont val="Arial CE"/>
        <family val="2"/>
      </rPr>
      <t>/rok</t>
    </r>
  </si>
  <si>
    <r>
      <t xml:space="preserve">Kč/rok   </t>
    </r>
    <r>
      <rPr>
        <sz val="10"/>
        <rFont val="Symbol"/>
        <family val="1"/>
      </rPr>
      <t>Ţ</t>
    </r>
  </si>
  <si>
    <r>
      <t>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>/rok</t>
    </r>
  </si>
  <si>
    <r>
      <t>Kč/rok</t>
    </r>
    <r>
      <rPr>
        <sz val="12"/>
        <rFont val="Arial CE"/>
        <family val="2"/>
      </rPr>
      <t xml:space="preserve">        </t>
    </r>
    <r>
      <rPr>
        <sz val="11"/>
        <rFont val="Arial CE"/>
        <family val="2"/>
      </rPr>
      <t>= Q</t>
    </r>
    <r>
      <rPr>
        <vertAlign val="subscript"/>
        <sz val="11"/>
        <rFont val="Arial CE"/>
        <family val="2"/>
      </rPr>
      <t>s</t>
    </r>
    <r>
      <rPr>
        <sz val="11"/>
        <rFont val="Arial CE"/>
        <family val="2"/>
      </rPr>
      <t xml:space="preserve"> x (JSS - DSS)</t>
    </r>
  </si>
  <si>
    <t xml:space="preserve"> … vstupní údaje se vkládají do žlutě označených buněk</t>
  </si>
  <si>
    <r>
      <t>pevná složka              S</t>
    </r>
    <r>
      <rPr>
        <b/>
        <vertAlign val="subscript"/>
        <sz val="11"/>
        <rFont val="Arial CE"/>
        <family val="2"/>
      </rPr>
      <t>s</t>
    </r>
    <r>
      <rPr>
        <b/>
        <sz val="11"/>
        <rFont val="Arial CE"/>
        <family val="2"/>
      </rPr>
      <t xml:space="preserve"> =</t>
    </r>
  </si>
  <si>
    <r>
      <t>U</t>
    </r>
    <r>
      <rPr>
        <vertAlign val="subscript"/>
        <sz val="12"/>
        <rFont val="Arial CE"/>
        <family val="2"/>
      </rPr>
      <t>i</t>
    </r>
    <r>
      <rPr>
        <sz val="12"/>
        <rFont val="Arial CE"/>
        <family val="2"/>
      </rPr>
      <t xml:space="preserve"> = q</t>
    </r>
    <r>
      <rPr>
        <vertAlign val="subscript"/>
        <sz val="12"/>
        <rFont val="Arial CE"/>
        <family val="2"/>
      </rPr>
      <t>p</t>
    </r>
    <r>
      <rPr>
        <sz val="12"/>
        <rFont val="Arial CE"/>
        <family val="2"/>
      </rPr>
      <t xml:space="preserve"> [m</t>
    </r>
    <r>
      <rPr>
        <vertAlign val="superscript"/>
        <sz val="12"/>
        <rFont val="Arial CE"/>
        <family val="2"/>
      </rPr>
      <t>3</t>
    </r>
    <r>
      <rPr>
        <sz val="12"/>
        <rFont val="Arial CE"/>
        <family val="2"/>
      </rPr>
      <t>/h]</t>
    </r>
  </si>
  <si>
    <r>
      <t>obecně mocninná závislost pevné složky V+S na hodnotě U</t>
    </r>
    <r>
      <rPr>
        <vertAlign val="subscript"/>
        <sz val="10"/>
        <rFont val="Arial CE"/>
        <family val="2"/>
      </rPr>
      <t>i</t>
    </r>
  </si>
  <si>
    <r>
      <t>s</t>
    </r>
    <r>
      <rPr>
        <b/>
        <sz val="12"/>
        <rFont val="Arial CE"/>
        <family val="2"/>
      </rPr>
      <t>k =</t>
    </r>
  </si>
  <si>
    <r>
      <t>pevné složky S</t>
    </r>
    <r>
      <rPr>
        <vertAlign val="subscript"/>
        <sz val="12"/>
        <rFont val="Arial CE"/>
        <family val="2"/>
      </rPr>
      <t>i</t>
    </r>
    <r>
      <rPr>
        <sz val="12"/>
        <rFont val="Arial CE"/>
        <family val="2"/>
      </rPr>
      <t xml:space="preserve">  [Kč/ks/rok]</t>
    </r>
  </si>
  <si>
    <t>V+S</t>
  </si>
  <si>
    <t>data pro graf:</t>
  </si>
  <si>
    <r>
      <t xml:space="preserve">                     q</t>
    </r>
    <r>
      <rPr>
        <vertAlign val="subscript"/>
        <sz val="12"/>
        <rFont val="Arial CE"/>
        <family val="2"/>
      </rPr>
      <t>p</t>
    </r>
  </si>
  <si>
    <t xml:space="preserve">           V</t>
  </si>
  <si>
    <t xml:space="preserve">       S</t>
  </si>
  <si>
    <t>typ fakturace</t>
  </si>
  <si>
    <t xml:space="preserve">               - z toho množství odpadních vod z jiných zdrojů</t>
  </si>
  <si>
    <t>celkem:</t>
  </si>
  <si>
    <t>PEVNÁ SLOŽKA STOČNÉHO PRO ODPADNÍ VODY Z JINÝCH ZDROJŮ CELKEM:</t>
  </si>
  <si>
    <t xml:space="preserve">celkem V+S: </t>
  </si>
  <si>
    <t xml:space="preserve">celkem V: </t>
  </si>
  <si>
    <t xml:space="preserve">celkem S: </t>
  </si>
  <si>
    <r>
      <t>odvedené množství   Q</t>
    </r>
    <r>
      <rPr>
        <b/>
        <vertAlign val="subscript"/>
        <sz val="11"/>
        <rFont val="Arial CE"/>
        <family val="2"/>
      </rPr>
      <t>s</t>
    </r>
    <r>
      <rPr>
        <b/>
        <sz val="11"/>
        <rFont val="Arial CE"/>
        <family val="2"/>
      </rPr>
      <t xml:space="preserve"> =</t>
    </r>
  </si>
  <si>
    <r>
      <t>v</t>
    </r>
    <r>
      <rPr>
        <b/>
        <sz val="12"/>
        <rFont val="Arial CE"/>
        <family val="0"/>
      </rPr>
      <t>b =</t>
    </r>
  </si>
  <si>
    <r>
      <t>s</t>
    </r>
    <r>
      <rPr>
        <b/>
        <sz val="12"/>
        <rFont val="Arial CE"/>
        <family val="0"/>
      </rPr>
      <t>b =</t>
    </r>
  </si>
  <si>
    <r>
      <t>S</t>
    </r>
    <r>
      <rPr>
        <vertAlign val="subscript"/>
        <sz val="11"/>
        <rFont val="Arial CE"/>
        <family val="2"/>
      </rPr>
      <t>i</t>
    </r>
    <r>
      <rPr>
        <sz val="11"/>
        <rFont val="Arial CE"/>
        <family val="2"/>
      </rPr>
      <t xml:space="preserve"> = k + a × U</t>
    </r>
    <r>
      <rPr>
        <vertAlign val="subscript"/>
        <sz val="11"/>
        <rFont val="Arial CE"/>
        <family val="2"/>
      </rPr>
      <t>i</t>
    </r>
    <r>
      <rPr>
        <sz val="11"/>
        <rFont val="Arial CE"/>
        <family val="2"/>
      </rPr>
      <t>^b</t>
    </r>
  </si>
  <si>
    <t>jako při JS V+S</t>
  </si>
  <si>
    <t>jsou platby stejné</t>
  </si>
  <si>
    <r>
      <t xml:space="preserve">         [m</t>
    </r>
    <r>
      <rPr>
        <vertAlign val="superscript"/>
        <sz val="12"/>
        <rFont val="Arial CE"/>
        <family val="2"/>
      </rPr>
      <t>3</t>
    </r>
    <r>
      <rPr>
        <sz val="12"/>
        <rFont val="Arial CE"/>
        <family val="2"/>
      </rPr>
      <t>/rok]</t>
    </r>
  </si>
  <si>
    <t>odběry, za něž</t>
  </si>
  <si>
    <t>vodné:</t>
  </si>
  <si>
    <t>stočné:</t>
  </si>
  <si>
    <t>přesnosti iterací</t>
  </si>
  <si>
    <t>odběry</t>
  </si>
  <si>
    <t>za uvedené</t>
  </si>
  <si>
    <t>platby</t>
  </si>
  <si>
    <r>
      <t>m</t>
    </r>
    <r>
      <rPr>
        <vertAlign val="superscript"/>
        <sz val="11"/>
        <rFont val="Arial CE"/>
        <family val="2"/>
      </rPr>
      <t>3</t>
    </r>
    <r>
      <rPr>
        <sz val="11"/>
        <rFont val="Arial CE"/>
        <family val="2"/>
      </rPr>
      <t>/rok pro nejnižší pev. složku vodného:</t>
    </r>
  </si>
  <si>
    <r>
      <t>m</t>
    </r>
    <r>
      <rPr>
        <vertAlign val="superscript"/>
        <sz val="11"/>
        <rFont val="Arial CE"/>
        <family val="2"/>
      </rPr>
      <t>3</t>
    </r>
    <r>
      <rPr>
        <sz val="11"/>
        <rFont val="Arial CE"/>
        <family val="2"/>
      </rPr>
      <t>/rok pro nejnižší pev. složku stočného:</t>
    </r>
  </si>
  <si>
    <t>podíl pevných složek vodného</t>
  </si>
  <si>
    <t>podíl pevných složek stočného</t>
  </si>
  <si>
    <t>odhad fakturovaného množství odváděných a čištěných odpadních vod</t>
  </si>
  <si>
    <t>vodné + stočné</t>
  </si>
  <si>
    <t>požadovaný přiměřený zisk z vody dodané celkem - bez VP</t>
  </si>
  <si>
    <t>pevné složky vodného celkem</t>
  </si>
  <si>
    <t>celková platba za odebrané množství pitné vody</t>
  </si>
  <si>
    <t>odhad ekonomicky oprávněných nákladů na vodu dodanou - bez vody předané (VP)</t>
  </si>
  <si>
    <t>požadovaný přiměřený zisk z vody dodané - bez VP</t>
  </si>
  <si>
    <t>odhad fakturovaného množství za vodu dodanou - bez VP</t>
  </si>
  <si>
    <t>odhad ekonomicky oprávněných nákladů na odváděné a čištěné odpadní vody</t>
  </si>
  <si>
    <t>požadovaný přiměřený zisk z odváděných a čištěných odpadních vod</t>
  </si>
  <si>
    <t>pevné složky stočného celkem</t>
  </si>
  <si>
    <t>celková platba za odváděné a čištěné množství odpadních vod</t>
  </si>
  <si>
    <t>Oprávněné náklady a přiměřený zisk z vodného a stočného celkem</t>
  </si>
  <si>
    <r>
      <t>průměrné V+S</t>
    </r>
    <r>
      <rPr>
        <sz val="9"/>
        <rFont val="Arial CE"/>
        <family val="2"/>
      </rPr>
      <t xml:space="preserve"> (bez DPH)</t>
    </r>
  </si>
  <si>
    <t xml:space="preserve">  [Kč/rok]</t>
  </si>
  <si>
    <t>zadání základních vstupních údajů pro výpočty - ostatní údaje se vkládají do tabulky dvousložkového V+S a tabulky příkladů</t>
  </si>
  <si>
    <r>
      <t>podíl pevných složek vodného</t>
    </r>
    <r>
      <rPr>
        <sz val="10"/>
        <rFont val="Arial CE"/>
        <family val="2"/>
      </rPr>
      <t xml:space="preserve">  (</t>
    </r>
    <r>
      <rPr>
        <sz val="10"/>
        <rFont val="Symbol"/>
        <family val="1"/>
      </rPr>
      <t>Ł</t>
    </r>
    <r>
      <rPr>
        <sz val="10"/>
        <rFont val="Arial CE"/>
        <family val="2"/>
      </rPr>
      <t xml:space="preserve"> hodnota, stanovená MF ČR)</t>
    </r>
  </si>
  <si>
    <r>
      <t xml:space="preserve">podíl pevných složek stočného  </t>
    </r>
    <r>
      <rPr>
        <sz val="10"/>
        <rFont val="Arial CE"/>
        <family val="2"/>
      </rPr>
      <t>(</t>
    </r>
    <r>
      <rPr>
        <sz val="10"/>
        <rFont val="Symbol"/>
        <family val="1"/>
      </rPr>
      <t>Ł</t>
    </r>
    <r>
      <rPr>
        <sz val="10"/>
        <rFont val="Arial CE"/>
        <family val="2"/>
      </rPr>
      <t xml:space="preserve"> hodnota, stanovená MF ČR)</t>
    </r>
  </si>
  <si>
    <t>ekonomicky oprávněné náklady a přiměřený zisk z vodného a stočného celkem</t>
  </si>
  <si>
    <t>PEVNÉ SLOŽKY VODNÉHO A STOČNÉHO PODLE HODNOT TRVALÝCH PRŮTOKŮ VODOMĚRŮ</t>
  </si>
  <si>
    <t>1.</t>
  </si>
  <si>
    <t>Materiál</t>
  </si>
  <si>
    <t>1.1</t>
  </si>
  <si>
    <t>- surová voda podzemní + povrchová</t>
  </si>
  <si>
    <t>tis.Kč</t>
  </si>
  <si>
    <t>1.2</t>
  </si>
  <si>
    <t>- pitná voda převzatá + odpadní voda předaná k čištění</t>
  </si>
  <si>
    <t>1.3</t>
  </si>
  <si>
    <t>- chemikálie</t>
  </si>
  <si>
    <t>1.4</t>
  </si>
  <si>
    <t>- ostatní materiál</t>
  </si>
  <si>
    <t>2.</t>
  </si>
  <si>
    <t>Energie</t>
  </si>
  <si>
    <t>2.1</t>
  </si>
  <si>
    <t>- elektrická energie</t>
  </si>
  <si>
    <t>2.2</t>
  </si>
  <si>
    <t>3.</t>
  </si>
  <si>
    <t xml:space="preserve">Mzdy </t>
  </si>
  <si>
    <t>3</t>
  </si>
  <si>
    <t>- přímé mzdy</t>
  </si>
  <si>
    <t>3.2</t>
  </si>
  <si>
    <t>- ostatní osobní náklady</t>
  </si>
  <si>
    <t>4.</t>
  </si>
  <si>
    <t>Ostatní přímé náklady</t>
  </si>
  <si>
    <t>4.1</t>
  </si>
  <si>
    <t>- odpisy a prostředky obnovy infrastr.majetku</t>
  </si>
  <si>
    <t>4.2</t>
  </si>
  <si>
    <t>- opravy infrastrukturního majetku</t>
  </si>
  <si>
    <t>4.3</t>
  </si>
  <si>
    <t>- nájem infrastrukturního majetku</t>
  </si>
  <si>
    <t>4.4</t>
  </si>
  <si>
    <t>- poplatky za vypouštění odpadních vod</t>
  </si>
  <si>
    <t>- ostatní provozní náklady externí</t>
  </si>
  <si>
    <t>- ostatní provozní náklady ve vlastní režii</t>
  </si>
  <si>
    <t>5.</t>
  </si>
  <si>
    <t>Finanční náklady</t>
  </si>
  <si>
    <t>6.</t>
  </si>
  <si>
    <t>Výrobní režie</t>
  </si>
  <si>
    <t>7.</t>
  </si>
  <si>
    <t>Správní režie</t>
  </si>
  <si>
    <t>8.</t>
  </si>
  <si>
    <t>Úplné vlastní náklady</t>
  </si>
  <si>
    <t>Kč/m3</t>
  </si>
  <si>
    <t>9.</t>
  </si>
  <si>
    <t>%</t>
  </si>
  <si>
    <t>10.</t>
  </si>
  <si>
    <t>11.</t>
  </si>
  <si>
    <t>Voda fakturovaná</t>
  </si>
  <si>
    <t>tis.m3</t>
  </si>
  <si>
    <t>12.</t>
  </si>
  <si>
    <t>podíl pevné složky</t>
  </si>
  <si>
    <t>Voda odpadní</t>
  </si>
  <si>
    <t>rozdíl</t>
  </si>
  <si>
    <t>pitná voda</t>
  </si>
  <si>
    <t>odpadní voda</t>
  </si>
  <si>
    <t>m3</t>
  </si>
  <si>
    <t>objemy</t>
  </si>
  <si>
    <t>tarify průměrné</t>
  </si>
  <si>
    <t>Tržby v+s</t>
  </si>
  <si>
    <t>Nájemné</t>
  </si>
  <si>
    <t>Stanovení výše celkového nájemného</t>
  </si>
  <si>
    <t>článek smlouvy</t>
  </si>
  <si>
    <t>změna</t>
  </si>
  <si>
    <t>Odpisy</t>
  </si>
  <si>
    <t>6.1.1</t>
  </si>
  <si>
    <t>Provozní náklady VAK</t>
  </si>
  <si>
    <t>6.1.2</t>
  </si>
  <si>
    <t>zisk</t>
  </si>
  <si>
    <t>6.1.3</t>
  </si>
  <si>
    <t>zisk/celkem</t>
  </si>
  <si>
    <t>Nájemné mimo vodné a stočné:</t>
  </si>
  <si>
    <t>účetní odpisy neinfrastrukturního majetku</t>
  </si>
  <si>
    <t>6.2.1</t>
  </si>
  <si>
    <t>10% z výnosů prodeje vody ze stojánků</t>
  </si>
  <si>
    <t>6.2.2</t>
  </si>
  <si>
    <t>Pevné nájemné za sklady Pouchov</t>
  </si>
  <si>
    <t>6.2.3</t>
  </si>
  <si>
    <t>10% z výnosů pronájmu areálu Pouchov</t>
  </si>
  <si>
    <t>6.2.4</t>
  </si>
  <si>
    <t>Podíl na provizích a skontu konsignačních skladů</t>
  </si>
  <si>
    <t>6.2.5</t>
  </si>
  <si>
    <t>Podíl na pronájmu reklamních ploch</t>
  </si>
  <si>
    <t>6.2.6</t>
  </si>
  <si>
    <t>10% z výnosů pronájmu areálu Tesco</t>
  </si>
  <si>
    <t>6.2.7</t>
  </si>
  <si>
    <t>Podíl na pronájmu ČOV pro OVLAB</t>
  </si>
  <si>
    <t>6.2.8</t>
  </si>
  <si>
    <t>Nekalkulovatelná část provozních nákladů pronajímatele</t>
  </si>
  <si>
    <t>6.2.9</t>
  </si>
  <si>
    <t>CELKEM</t>
  </si>
  <si>
    <t>Nájemné kalkulované do v+s</t>
  </si>
  <si>
    <t>odpisy vodné</t>
  </si>
  <si>
    <t>odpisy stočné</t>
  </si>
  <si>
    <t>vodné</t>
  </si>
  <si>
    <t>stočné</t>
  </si>
  <si>
    <t>nájemné kalkulované do stočného vč. ČOV N.Bydžov</t>
  </si>
  <si>
    <t>Kategorie A</t>
  </si>
  <si>
    <t>Kategorie B</t>
  </si>
  <si>
    <t>Kategorie C</t>
  </si>
  <si>
    <t>Kategorie D</t>
  </si>
  <si>
    <t>Nájemné vodné do kalkulace zaokrouhlené</t>
  </si>
  <si>
    <t>Nájemné stočné do kalkulace zaokrouhlené</t>
  </si>
  <si>
    <t>Kč</t>
  </si>
  <si>
    <t>Proměnná složka</t>
  </si>
  <si>
    <t>Pevná složka</t>
  </si>
  <si>
    <t>Pevná složka v+s</t>
  </si>
  <si>
    <t>Nárůst</t>
  </si>
  <si>
    <t>Nájemné celkem</t>
  </si>
  <si>
    <t>Nájemné mimo vodné a stočné</t>
  </si>
  <si>
    <t>Odpisy vodné</t>
  </si>
  <si>
    <t>Odpisy stočné</t>
  </si>
  <si>
    <t>Nájemné kalkulované do vodného</t>
  </si>
  <si>
    <t>Nájemné kalkulované do stočného</t>
  </si>
  <si>
    <t>Cena bez DPH</t>
  </si>
  <si>
    <t>Královéhradecká provozní, a.s.</t>
  </si>
  <si>
    <t xml:space="preserve"> - z toho domácnosti</t>
  </si>
  <si>
    <t>nárůst zisku</t>
  </si>
  <si>
    <t>Cena s DPH</t>
  </si>
  <si>
    <t>17.a</t>
  </si>
  <si>
    <t>17.</t>
  </si>
  <si>
    <t>16.</t>
  </si>
  <si>
    <t>14.</t>
  </si>
  <si>
    <t>13.</t>
  </si>
  <si>
    <t>Celkem ÚVN+zisk</t>
  </si>
  <si>
    <t xml:space="preserve"> - podíl z ÚVN</t>
  </si>
  <si>
    <t>Kalkulační zisk</t>
  </si>
  <si>
    <t>JEDNOTKOVÉ NÁKLADY</t>
  </si>
  <si>
    <t>- ostatní energie (plyn, pevná a kapalná paliva)</t>
  </si>
  <si>
    <t>řádek</t>
  </si>
  <si>
    <t>Náklady pro výpočet ceny pro vodné a stočné</t>
  </si>
  <si>
    <t>D</t>
  </si>
  <si>
    <t>C</t>
  </si>
  <si>
    <t>B</t>
  </si>
  <si>
    <t>A</t>
  </si>
  <si>
    <t>Odvádění odpadních vod</t>
  </si>
  <si>
    <t>Dodávka pitné vody</t>
  </si>
  <si>
    <t>sazba v Kč za rok</t>
  </si>
  <si>
    <r>
      <t>Normová hodnota průtoku Q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vodoměru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/hod)          podle normy ČSN EN 14154-1+A1</t>
    </r>
  </si>
  <si>
    <r>
      <t>Normová hodnota průtoku Qn vodoměru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/hod)        podle normy ČSN ISO 4064-1</t>
    </r>
  </si>
  <si>
    <t xml:space="preserve">Kapacita (m3/hod) </t>
  </si>
  <si>
    <t>Kategorie</t>
  </si>
  <si>
    <t xml:space="preserve">kontrola </t>
  </si>
  <si>
    <t>MJ</t>
  </si>
  <si>
    <t>nárůst ceny celkem</t>
  </si>
  <si>
    <t>nárůst ceny o inflaci</t>
  </si>
  <si>
    <t>rozdíl (chybí)</t>
  </si>
  <si>
    <t>kalkulovaná cena 2012</t>
  </si>
  <si>
    <t>Proměnná složka bez DPH (Kč/m3)</t>
  </si>
  <si>
    <t>Pevná složka bez DPH (Kč/rok)</t>
  </si>
  <si>
    <t>inflační nárůst</t>
  </si>
  <si>
    <t>Cena s DPH 15% (orientační)</t>
  </si>
  <si>
    <t>sazba DPH</t>
  </si>
  <si>
    <t>včetně DPH 15%</t>
  </si>
  <si>
    <t>nárůst nájemného nad inflaci</t>
  </si>
  <si>
    <t>nárůst provozních nákladů ÚV Orlice</t>
  </si>
  <si>
    <t>zvýšení nákladů nad inflaci celkem</t>
  </si>
  <si>
    <t>nárůst ceny zvýšením nájemného</t>
  </si>
  <si>
    <t>nárůst ceny zvýšením nákladů na ÚV</t>
  </si>
  <si>
    <t>Pozn: Je uvažována spotřeba 36m3 na obyvatele za rok</t>
  </si>
  <si>
    <t>kč/m3</t>
  </si>
  <si>
    <t xml:space="preserve">cena </t>
  </si>
  <si>
    <t>náklady celkem</t>
  </si>
  <si>
    <t>vodoměr kat.C Qn do 40 m3/h</t>
  </si>
  <si>
    <t>m3/rok</t>
  </si>
  <si>
    <t>Bytový dům - 50 bytů po 3 lidech</t>
  </si>
  <si>
    <t>vodoměr kat.A Qn do 3,5 m3/h</t>
  </si>
  <si>
    <t>Rodinný dům 4 lidé - vodné+stočné</t>
  </si>
  <si>
    <t>Rodinný dům 4 lidé - jen vodné</t>
  </si>
  <si>
    <t>Modelové příklady</t>
  </si>
  <si>
    <t>Úprava ceny vodného a stočného</t>
  </si>
  <si>
    <t>Provozní náklady</t>
  </si>
  <si>
    <t>5.2</t>
  </si>
  <si>
    <t>5.3</t>
  </si>
  <si>
    <t>Finanční výnosy</t>
  </si>
  <si>
    <t>18.</t>
  </si>
  <si>
    <t>19.</t>
  </si>
  <si>
    <t>- prostředky obnovy infrastrukturního majetku</t>
  </si>
  <si>
    <t>5.1</t>
  </si>
  <si>
    <t>Úprava ceny vodného a stočného na rok 2017</t>
  </si>
  <si>
    <t>cena 2016</t>
  </si>
  <si>
    <t>cena 2017</t>
  </si>
  <si>
    <t>fakturované množství 2017</t>
  </si>
  <si>
    <t>Pevné složky ceny pro vodné a stočné pro rok 2019</t>
  </si>
  <si>
    <t>Pohyblivá složka</t>
  </si>
  <si>
    <t>I</t>
  </si>
  <si>
    <t>II</t>
  </si>
  <si>
    <t>Provozovatel - název a IČ</t>
  </si>
  <si>
    <t>III</t>
  </si>
  <si>
    <t>Vlastník - název a IČ</t>
  </si>
  <si>
    <t>IV</t>
  </si>
  <si>
    <t>Formulář A až F</t>
  </si>
  <si>
    <t>Index 1 až x</t>
  </si>
  <si>
    <t>VI</t>
  </si>
  <si>
    <t>IČPE související s cenou</t>
  </si>
  <si>
    <t>Oč. Sk.</t>
  </si>
  <si>
    <t>Kalkul.</t>
  </si>
  <si>
    <t xml:space="preserve">Voda pitná </t>
  </si>
  <si>
    <t>Nákladové položky</t>
  </si>
  <si>
    <t>1</t>
  </si>
  <si>
    <t>2</t>
  </si>
  <si>
    <t>2a</t>
  </si>
  <si>
    <t>mil.Kč</t>
  </si>
  <si>
    <t>E</t>
  </si>
  <si>
    <t>F</t>
  </si>
  <si>
    <t>G</t>
  </si>
  <si>
    <t>H</t>
  </si>
  <si>
    <t>J</t>
  </si>
  <si>
    <t>K</t>
  </si>
  <si>
    <t>Hodnota souvisejícího infrastrukturního majetku podle VÚME</t>
  </si>
  <si>
    <t>Počet pracovníků</t>
  </si>
  <si>
    <t xml:space="preserve">Voda pitná fakturovaná </t>
  </si>
  <si>
    <t>- z toho domácnosti</t>
  </si>
  <si>
    <t>Voda odpadní odváděná fakturovaná</t>
  </si>
  <si>
    <t>voda srážková fakturovaná</t>
  </si>
  <si>
    <t>Voda odpadní čištěná</t>
  </si>
  <si>
    <t>Pitná nebo odpadní voda převzatá</t>
  </si>
  <si>
    <t>Pitná nebo odpadní voda předaná</t>
  </si>
  <si>
    <t>osob</t>
  </si>
  <si>
    <t>mil.m3</t>
  </si>
  <si>
    <t>2b</t>
  </si>
  <si>
    <t>4a</t>
  </si>
  <si>
    <t>7a</t>
  </si>
  <si>
    <t>text</t>
  </si>
  <si>
    <t>mj</t>
  </si>
  <si>
    <t>Poznámka</t>
  </si>
  <si>
    <t>Kalkulace</t>
  </si>
  <si>
    <t xml:space="preserve">Voda odpadní </t>
  </si>
  <si>
    <t>Voda    pitná</t>
  </si>
  <si>
    <t>ř. 10/D nebo ř. 10/F+H</t>
  </si>
  <si>
    <t>mil. Kč</t>
  </si>
  <si>
    <t>Kalkulovaná cena pro vodné a pro stočné</t>
  </si>
  <si>
    <t>Pořizovací cena souvisejícího provozního hmotného majetku</t>
  </si>
  <si>
    <t>Vypracoval:</t>
  </si>
  <si>
    <t>Kontroloval:</t>
  </si>
  <si>
    <t xml:space="preserve">Telefon: </t>
  </si>
  <si>
    <t>e-mail:</t>
  </si>
  <si>
    <t xml:space="preserve">Datum: </t>
  </si>
  <si>
    <t xml:space="preserve">Příjemce stočného </t>
  </si>
  <si>
    <t>Obec Vysoká nad Labem</t>
  </si>
  <si>
    <t>Královéhradecká provozní, a.s., IČ: 27461211</t>
  </si>
  <si>
    <t>Obec Vysoká nad Labem, IČ: 00269786</t>
  </si>
  <si>
    <t>5205-788082-00269786-3/1-27461211
5205-788082-00269786-4/1-27461211</t>
  </si>
  <si>
    <t>-  z toho domácnosti</t>
  </si>
  <si>
    <t xml:space="preserve">Schválil - zástupcevlastníka: </t>
  </si>
  <si>
    <t>Výpočet (kalkulace) cen pro stočné  pro kalendářní rok 2020</t>
  </si>
  <si>
    <t>Formulář A - Výpočet odběratelské ceny pro stočné roku 2020</t>
  </si>
  <si>
    <t>5205-788082-00269786-3/1-27461211</t>
  </si>
  <si>
    <t>5205-788082-00269786-4/1-27461211</t>
  </si>
  <si>
    <t>Cena s DPH 10% (orientační)</t>
  </si>
  <si>
    <t>Výpočet (kalkulace) cen pro stočné  pro kalendářní rok 2021</t>
  </si>
  <si>
    <t>Formulář A - Výpočet odběratelské ceny pro stočné roku 2021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</si>
</sst>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00_)"/>
    <numFmt numFmtId="167" formatCode="0.00_)"/>
    <numFmt numFmtId="168" formatCode="d/m/yy"/>
    <numFmt numFmtId="169" formatCode="#,##0.000"/>
    <numFmt numFmtId="170" formatCode="#,##0.0000"/>
    <numFmt numFmtId="171" formatCode="0.000"/>
    <numFmt numFmtId="172" formatCode="#,##0;[Red]#,##0"/>
    <numFmt numFmtId="173" formatCode="0.0"/>
    <numFmt numFmtId="174" formatCode="#,##0.0"/>
    <numFmt numFmtId="175" formatCode="0.0%"/>
    <numFmt numFmtId="176" formatCode="#,##0.\-"/>
    <numFmt numFmtId="177" formatCode="0.0000%"/>
    <numFmt numFmtId="178" formatCode="0.00000%"/>
    <numFmt numFmtId="179" formatCode="&quot;$&quot;#,##0.00_);[Red]\(&quot;$&quot;#,##0.00\)"/>
    <numFmt numFmtId="180" formatCode="_(&quot;$&quot;#,##0.0_);_(\(&quot;$&quot;#,##0.0\)"/>
    <numFmt numFmtId="181" formatCode="_-* #,##0.00\,_K_č_-;\-* #,##0.00\,_K_č_-;_-* \-??\ _K_č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\ ##0.\-"/>
    <numFmt numFmtId="185" formatCode="0.0000"/>
    <numFmt numFmtId="186" formatCode="0.00000"/>
  </numFmts>
  <fonts count="109">
    <font>
      <sz val="10"/>
      <name val="Arial CE"/>
      <family val="0"/>
    </font>
    <font>
      <sz val="12"/>
      <name val="Arial CE"/>
      <family val="2"/>
    </font>
    <font>
      <vertAlign val="superscript"/>
      <sz val="10"/>
      <name val="Arial CE"/>
      <family val="2"/>
    </font>
    <font>
      <b/>
      <u val="single"/>
      <sz val="12"/>
      <name val="Arial CE"/>
      <family val="2"/>
    </font>
    <font>
      <vertAlign val="superscript"/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vertAlign val="superscript"/>
      <sz val="12"/>
      <name val="Arial CE"/>
      <family val="2"/>
    </font>
    <font>
      <vertAlign val="subscript"/>
      <sz val="10"/>
      <name val="Arial CE"/>
      <family val="2"/>
    </font>
    <font>
      <sz val="9"/>
      <color indexed="10"/>
      <name val="Arial CE"/>
      <family val="2"/>
    </font>
    <font>
      <vertAlign val="subscript"/>
      <sz val="12"/>
      <name val="Arial CE"/>
      <family val="2"/>
    </font>
    <font>
      <sz val="8"/>
      <name val="Arial CE"/>
      <family val="2"/>
    </font>
    <font>
      <sz val="16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b/>
      <sz val="16"/>
      <name val="Arial CE"/>
      <family val="2"/>
    </font>
    <font>
      <b/>
      <sz val="12"/>
      <name val="Symbol"/>
      <family val="1"/>
    </font>
    <font>
      <b/>
      <sz val="20"/>
      <name val="Arial CE"/>
      <family val="2"/>
    </font>
    <font>
      <sz val="12"/>
      <name val="Symbol"/>
      <family val="1"/>
    </font>
    <font>
      <sz val="10"/>
      <name val="Symbol"/>
      <family val="1"/>
    </font>
    <font>
      <b/>
      <sz val="11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b/>
      <vertAlign val="subscript"/>
      <sz val="11"/>
      <name val="Arial CE"/>
      <family val="2"/>
    </font>
    <font>
      <vertAlign val="subscript"/>
      <sz val="11"/>
      <name val="Arial CE"/>
      <family val="2"/>
    </font>
    <font>
      <b/>
      <sz val="10"/>
      <color indexed="10"/>
      <name val="Arial CE"/>
      <family val="2"/>
    </font>
    <font>
      <b/>
      <sz val="14"/>
      <color indexed="10"/>
      <name val="Arial CE"/>
      <family val="2"/>
    </font>
    <font>
      <sz val="10"/>
      <color indexed="10"/>
      <name val="Arial CE"/>
      <family val="2"/>
    </font>
    <font>
      <b/>
      <u val="single"/>
      <sz val="11"/>
      <name val="Arial CE"/>
      <family val="2"/>
    </font>
    <font>
      <b/>
      <u val="single"/>
      <sz val="1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1"/>
      <color indexed="12"/>
      <name val="Arial CE"/>
      <family val="0"/>
    </font>
    <font>
      <b/>
      <u val="single"/>
      <sz val="14"/>
      <color indexed="10"/>
      <name val="Arial CE"/>
      <family val="0"/>
    </font>
    <font>
      <vertAlign val="superscript"/>
      <sz val="11"/>
      <name val="Arial CE"/>
      <family val="2"/>
    </font>
    <font>
      <sz val="10"/>
      <color indexed="12"/>
      <name val="Arial CE"/>
      <family val="2"/>
    </font>
    <font>
      <b/>
      <sz val="9"/>
      <name val="Arial CE"/>
      <family val="2"/>
    </font>
    <font>
      <b/>
      <u val="single"/>
      <sz val="12"/>
      <color indexed="48"/>
      <name val="Arial CE"/>
      <family val="0"/>
    </font>
    <font>
      <b/>
      <u val="single"/>
      <sz val="14"/>
      <color indexed="4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.75"/>
      <color indexed="8"/>
      <name val="Arial CE"/>
      <family val="0"/>
    </font>
    <font>
      <sz val="8"/>
      <color indexed="8"/>
      <name val="Arial CE"/>
      <family val="0"/>
    </font>
    <font>
      <sz val="8.05"/>
      <color indexed="8"/>
      <name val="Arial CE"/>
      <family val="0"/>
    </font>
    <font>
      <sz val="11"/>
      <color indexed="12"/>
      <name val="Book Antiqua"/>
      <family val="1"/>
    </font>
    <font>
      <sz val="10"/>
      <name val="Arial Narrow"/>
      <family val="2"/>
    </font>
    <font>
      <sz val="12"/>
      <name val="Arial"/>
      <family val="2"/>
    </font>
    <font>
      <sz val="12"/>
      <name val="Times New Roman CE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sz val="9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 CE"/>
      <family val="0"/>
    </font>
    <font>
      <sz val="11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8.75"/>
      <color indexed="8"/>
      <name val="Arial CE"/>
      <family val="0"/>
    </font>
    <font>
      <b/>
      <vertAlign val="subscript"/>
      <sz val="8.75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rgb="FFFF0000"/>
      <name val="Arial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 style="hair"/>
      <bottom style="double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40" fillId="0" borderId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0" borderId="1" applyNumberFormat="0" applyFill="0" applyAlignment="0" applyProtection="0"/>
    <xf numFmtId="179" fontId="46" fillId="0" borderId="2">
      <alignment/>
      <protection locked="0"/>
    </xf>
    <xf numFmtId="180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174" fontId="40" fillId="0" borderId="0" applyFill="0" applyBorder="0" applyAlignment="0" applyProtection="0"/>
    <xf numFmtId="3" fontId="40" fillId="0" borderId="0" applyFill="0" applyBorder="0" applyAlignment="0" applyProtection="0"/>
    <xf numFmtId="0" fontId="31" fillId="0" borderId="0" applyNumberFormat="0" applyFill="0" applyBorder="0" applyAlignment="0" applyProtection="0"/>
    <xf numFmtId="0" fontId="89" fillId="20" borderId="0" applyNumberFormat="0" applyBorder="0" applyAlignment="0" applyProtection="0"/>
    <xf numFmtId="0" fontId="90" fillId="21" borderId="3" applyNumberFormat="0" applyAlignment="0" applyProtection="0"/>
    <xf numFmtId="44" fontId="0" fillId="0" borderId="0" applyFont="0" applyFill="0" applyBorder="0" applyAlignment="0" applyProtection="0"/>
    <xf numFmtId="5" fontId="40" fillId="0" borderId="0" applyFill="0" applyBorder="0" applyAlignment="0" applyProtection="0"/>
    <xf numFmtId="42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181" fontId="49" fillId="0" borderId="0" applyFill="0" applyBorder="0" applyAlignment="0" applyProtection="0"/>
    <xf numFmtId="182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22" borderId="0" applyNumberFormat="0" applyBorder="0" applyAlignment="0" applyProtection="0"/>
    <xf numFmtId="0" fontId="49" fillId="0" borderId="0">
      <alignment/>
      <protection/>
    </xf>
    <xf numFmtId="0" fontId="4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2" fontId="48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48" fillId="0" borderId="0" applyFill="0" applyBorder="0" applyAlignment="0" applyProtection="0"/>
    <xf numFmtId="0" fontId="96" fillId="0" borderId="8" applyNumberFormat="0" applyFill="0" applyAlignment="0" applyProtection="0"/>
    <xf numFmtId="0" fontId="97" fillId="24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25" borderId="9" applyNumberFormat="0" applyAlignment="0" applyProtection="0"/>
    <xf numFmtId="0" fontId="100" fillId="26" borderId="9" applyNumberFormat="0" applyAlignment="0" applyProtection="0"/>
    <xf numFmtId="0" fontId="101" fillId="26" borderId="10" applyNumberFormat="0" applyAlignment="0" applyProtection="0"/>
    <xf numFmtId="0" fontId="10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</cellStyleXfs>
  <cellXfs count="517">
    <xf numFmtId="0" fontId="0" fillId="0" borderId="0" xfId="0" applyAlignment="1">
      <alignment/>
    </xf>
    <xf numFmtId="3" fontId="41" fillId="0" borderId="11" xfId="65" applyNumberFormat="1" applyFont="1" applyBorder="1" applyAlignment="1">
      <alignment horizontal="center"/>
      <protection/>
    </xf>
    <xf numFmtId="37" fontId="1" fillId="33" borderId="12" xfId="0" applyNumberFormat="1" applyFont="1" applyFill="1" applyBorder="1" applyAlignment="1" applyProtection="1">
      <alignment horizontal="right"/>
      <protection locked="0"/>
    </xf>
    <xf numFmtId="167" fontId="5" fillId="0" borderId="13" xfId="0" applyNumberFormat="1" applyFont="1" applyFill="1" applyBorder="1" applyAlignment="1" applyProtection="1">
      <alignment/>
      <protection hidden="1"/>
    </xf>
    <xf numFmtId="167" fontId="0" fillId="0" borderId="14" xfId="0" applyNumberFormat="1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0" borderId="14" xfId="0" applyFont="1" applyFill="1" applyBorder="1" applyAlignment="1" applyProtection="1">
      <alignment/>
      <protection hidden="1"/>
    </xf>
    <xf numFmtId="167" fontId="1" fillId="0" borderId="0" xfId="0" applyNumberFormat="1" applyFont="1" applyFill="1" applyBorder="1" applyAlignment="1" applyProtection="1">
      <alignment/>
      <protection hidden="1"/>
    </xf>
    <xf numFmtId="167" fontId="5" fillId="0" borderId="15" xfId="0" applyNumberFormat="1" applyFont="1" applyFill="1" applyBorder="1" applyAlignment="1" applyProtection="1">
      <alignment/>
      <protection hidden="1"/>
    </xf>
    <xf numFmtId="167" fontId="1" fillId="0" borderId="16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 quotePrefix="1">
      <alignment horizontal="left"/>
      <protection hidden="1"/>
    </xf>
    <xf numFmtId="175" fontId="0" fillId="0" borderId="0" xfId="0" applyNumberFormat="1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left"/>
      <protection hidden="1"/>
    </xf>
    <xf numFmtId="168" fontId="0" fillId="0" borderId="0" xfId="0" applyNumberFormat="1" applyFont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9" fontId="7" fillId="0" borderId="0" xfId="76" applyNumberFormat="1" applyFont="1" applyAlignment="1" applyProtection="1">
      <alignment/>
      <protection hidden="1"/>
    </xf>
    <xf numFmtId="0" fontId="1" fillId="0" borderId="17" xfId="0" applyFont="1" applyFill="1" applyBorder="1" applyAlignment="1" applyProtection="1">
      <alignment/>
      <protection hidden="1"/>
    </xf>
    <xf numFmtId="0" fontId="5" fillId="0" borderId="14" xfId="0" applyFont="1" applyFill="1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7" fillId="0" borderId="18" xfId="0" applyFont="1" applyBorder="1" applyAlignment="1" applyProtection="1">
      <alignment horizontal="left"/>
      <protection hidden="1"/>
    </xf>
    <xf numFmtId="0" fontId="0" fillId="0" borderId="18" xfId="0" applyFont="1" applyBorder="1" applyAlignment="1" applyProtection="1">
      <alignment/>
      <protection hidden="1"/>
    </xf>
    <xf numFmtId="0" fontId="1" fillId="0" borderId="16" xfId="0" applyFont="1" applyFill="1" applyBorder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7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/>
      <protection hidden="1"/>
    </xf>
    <xf numFmtId="3" fontId="0" fillId="34" borderId="0" xfId="0" applyNumberFormat="1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 horizontal="right"/>
      <protection hidden="1"/>
    </xf>
    <xf numFmtId="172" fontId="1" fillId="34" borderId="0" xfId="0" applyNumberFormat="1" applyFont="1" applyFill="1" applyBorder="1" applyAlignment="1" applyProtection="1">
      <alignment horizontal="right"/>
      <protection hidden="1"/>
    </xf>
    <xf numFmtId="0" fontId="1" fillId="34" borderId="0" xfId="0" applyFont="1" applyFill="1" applyBorder="1" applyAlignment="1" applyProtection="1">
      <alignment horizontal="left"/>
      <protection hidden="1"/>
    </xf>
    <xf numFmtId="0" fontId="7" fillId="34" borderId="0" xfId="0" applyFont="1" applyFill="1" applyAlignment="1" applyProtection="1">
      <alignment horizontal="left"/>
      <protection hidden="1"/>
    </xf>
    <xf numFmtId="0" fontId="5" fillId="34" borderId="0" xfId="0" applyFont="1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 quotePrefix="1">
      <alignment horizontal="left"/>
      <protection hidden="1"/>
    </xf>
    <xf numFmtId="175" fontId="7" fillId="34" borderId="0" xfId="0" applyNumberFormat="1" applyFont="1" applyFill="1" applyAlignment="1" applyProtection="1">
      <alignment horizontal="center"/>
      <protection hidden="1"/>
    </xf>
    <xf numFmtId="166" fontId="0" fillId="34" borderId="0" xfId="0" applyNumberFormat="1" applyFont="1" applyFill="1" applyAlignment="1" applyProtection="1">
      <alignment/>
      <protection hidden="1"/>
    </xf>
    <xf numFmtId="0" fontId="5" fillId="34" borderId="0" xfId="0" applyFont="1" applyFill="1" applyAlignment="1" applyProtection="1" quotePrefix="1">
      <alignment horizontal="left" vertical="center"/>
      <protection hidden="1"/>
    </xf>
    <xf numFmtId="0" fontId="7" fillId="34" borderId="0" xfId="0" applyFont="1" applyFill="1" applyAlignment="1" applyProtection="1">
      <alignment horizontal="center"/>
      <protection hidden="1"/>
    </xf>
    <xf numFmtId="0" fontId="7" fillId="34" borderId="0" xfId="0" applyFont="1" applyFill="1" applyAlignment="1" applyProtection="1" quotePrefix="1">
      <alignment horizontal="left"/>
      <protection hidden="1"/>
    </xf>
    <xf numFmtId="0" fontId="7" fillId="34" borderId="0" xfId="0" applyFont="1" applyFill="1" applyBorder="1" applyAlignment="1" applyProtection="1">
      <alignment/>
      <protection hidden="1"/>
    </xf>
    <xf numFmtId="166" fontId="5" fillId="34" borderId="0" xfId="0" applyNumberFormat="1" applyFont="1" applyFill="1" applyBorder="1" applyAlignment="1" applyProtection="1" quotePrefix="1">
      <alignment horizontal="left"/>
      <protection hidden="1"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 quotePrefix="1">
      <alignment horizontal="left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167" fontId="5" fillId="0" borderId="0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175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left"/>
      <protection hidden="1"/>
    </xf>
    <xf numFmtId="167" fontId="0" fillId="0" borderId="0" xfId="0" applyNumberFormat="1" applyFont="1" applyFill="1" applyBorder="1" applyAlignment="1" applyProtection="1">
      <alignment/>
      <protection hidden="1"/>
    </xf>
    <xf numFmtId="167" fontId="0" fillId="0" borderId="0" xfId="0" applyNumberFormat="1" applyFont="1" applyBorder="1" applyAlignment="1" applyProtection="1">
      <alignment/>
      <protection hidden="1"/>
    </xf>
    <xf numFmtId="175" fontId="1" fillId="0" borderId="0" xfId="0" applyNumberFormat="1" applyFont="1" applyFill="1" applyBorder="1" applyAlignment="1" applyProtection="1">
      <alignment/>
      <protection hidden="1"/>
    </xf>
    <xf numFmtId="37" fontId="0" fillId="0" borderId="0" xfId="0" applyNumberFormat="1" applyFont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14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166" fontId="1" fillId="0" borderId="0" xfId="0" applyNumberFormat="1" applyFont="1" applyFill="1" applyBorder="1" applyAlignment="1" applyProtection="1" quotePrefix="1">
      <alignment horizontal="left"/>
      <protection hidden="1"/>
    </xf>
    <xf numFmtId="3" fontId="0" fillId="0" borderId="0" xfId="0" applyNumberFormat="1" applyFont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 quotePrefix="1">
      <alignment horizontal="left"/>
      <protection hidden="1"/>
    </xf>
    <xf numFmtId="166" fontId="0" fillId="0" borderId="0" xfId="0" applyNumberFormat="1" applyFont="1" applyAlignment="1" applyProtection="1">
      <alignment/>
      <protection hidden="1"/>
    </xf>
    <xf numFmtId="175" fontId="0" fillId="0" borderId="0" xfId="0" applyNumberFormat="1" applyFont="1" applyAlignment="1" applyProtection="1">
      <alignment horizontal="left"/>
      <protection hidden="1"/>
    </xf>
    <xf numFmtId="0" fontId="1" fillId="0" borderId="0" xfId="0" applyFont="1" applyFill="1" applyAlignment="1" applyProtection="1" quotePrefix="1">
      <alignment horizontal="left" vertical="center"/>
      <protection hidden="1"/>
    </xf>
    <xf numFmtId="172" fontId="0" fillId="0" borderId="0" xfId="0" applyNumberFormat="1" applyFont="1" applyAlignment="1" applyProtection="1">
      <alignment/>
      <protection hidden="1"/>
    </xf>
    <xf numFmtId="172" fontId="0" fillId="0" borderId="0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166" fontId="5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" fillId="0" borderId="19" xfId="0" applyFont="1" applyFill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49" fontId="4" fillId="0" borderId="0" xfId="0" applyNumberFormat="1" applyFont="1" applyAlignment="1" applyProtection="1" quotePrefix="1">
      <alignment horizontal="right" vertical="center"/>
      <protection hidden="1"/>
    </xf>
    <xf numFmtId="49" fontId="4" fillId="0" borderId="0" xfId="0" applyNumberFormat="1" applyFont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" fillId="0" borderId="12" xfId="0" applyFont="1" applyFill="1" applyBorder="1" applyAlignment="1" applyProtection="1">
      <alignment horizontal="center"/>
      <protection hidden="1"/>
    </xf>
    <xf numFmtId="0" fontId="1" fillId="0" borderId="20" xfId="0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37" fontId="1" fillId="0" borderId="0" xfId="0" applyNumberFormat="1" applyFont="1" applyFill="1" applyBorder="1" applyAlignment="1" applyProtection="1">
      <alignment horizontal="right"/>
      <protection hidden="1"/>
    </xf>
    <xf numFmtId="37" fontId="0" fillId="0" borderId="0" xfId="0" applyNumberFormat="1" applyFont="1" applyFill="1" applyBorder="1" applyAlignment="1" applyProtection="1">
      <alignment horizontal="right"/>
      <protection hidden="1"/>
    </xf>
    <xf numFmtId="3" fontId="1" fillId="0" borderId="0" xfId="0" applyNumberFormat="1" applyFont="1" applyFill="1" applyBorder="1" applyAlignment="1" applyProtection="1">
      <alignment horizontal="right"/>
      <protection hidden="1"/>
    </xf>
    <xf numFmtId="37" fontId="5" fillId="0" borderId="0" xfId="0" applyNumberFormat="1" applyFont="1" applyFill="1" applyBorder="1" applyAlignment="1" applyProtection="1">
      <alignment horizontal="right"/>
      <protection hidden="1"/>
    </xf>
    <xf numFmtId="37" fontId="0" fillId="0" borderId="0" xfId="0" applyNumberFormat="1" applyFont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167" fontId="0" fillId="0" borderId="0" xfId="0" applyNumberFormat="1" applyFont="1" applyAlignment="1" applyProtection="1">
      <alignment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5" fillId="0" borderId="0" xfId="0" applyFont="1" applyAlignment="1" applyProtection="1" quotePrefix="1">
      <alignment horizontal="left"/>
      <protection hidden="1"/>
    </xf>
    <xf numFmtId="0" fontId="1" fillId="0" borderId="21" xfId="0" applyFont="1" applyFill="1" applyBorder="1" applyAlignment="1" applyProtection="1" quotePrefix="1">
      <alignment horizontal="left"/>
      <protection hidden="1"/>
    </xf>
    <xf numFmtId="0" fontId="1" fillId="0" borderId="22" xfId="0" applyFont="1" applyFill="1" applyBorder="1" applyAlignment="1" applyProtection="1">
      <alignment/>
      <protection hidden="1"/>
    </xf>
    <xf numFmtId="174" fontId="5" fillId="33" borderId="23" xfId="0" applyNumberFormat="1" applyFont="1" applyFill="1" applyBorder="1" applyAlignment="1" applyProtection="1">
      <alignment horizontal="center"/>
      <protection locked="0"/>
    </xf>
    <xf numFmtId="176" fontId="1" fillId="0" borderId="0" xfId="0" applyNumberFormat="1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176" fontId="1" fillId="0" borderId="0" xfId="0" applyNumberFormat="1" applyFont="1" applyFill="1" applyBorder="1" applyAlignment="1" applyProtection="1">
      <alignment horizontal="right"/>
      <protection hidden="1"/>
    </xf>
    <xf numFmtId="176" fontId="1" fillId="0" borderId="24" xfId="0" applyNumberFormat="1" applyFont="1" applyBorder="1" applyAlignment="1" applyProtection="1">
      <alignment/>
      <protection hidden="1"/>
    </xf>
    <xf numFmtId="176" fontId="1" fillId="0" borderId="0" xfId="0" applyNumberFormat="1" applyFont="1" applyAlignment="1" applyProtection="1">
      <alignment horizontal="right"/>
      <protection hidden="1"/>
    </xf>
    <xf numFmtId="176" fontId="5" fillId="0" borderId="25" xfId="0" applyNumberFormat="1" applyFont="1" applyFill="1" applyBorder="1" applyAlignment="1" applyProtection="1">
      <alignment horizontal="right"/>
      <protection hidden="1"/>
    </xf>
    <xf numFmtId="176" fontId="1" fillId="0" borderId="26" xfId="0" applyNumberFormat="1" applyFont="1" applyFill="1" applyBorder="1" applyAlignment="1" applyProtection="1">
      <alignment horizontal="right"/>
      <protection hidden="1"/>
    </xf>
    <xf numFmtId="176" fontId="5" fillId="0" borderId="0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Alignment="1" applyProtection="1" quotePrefix="1">
      <alignment horizontal="center"/>
      <protection hidden="1"/>
    </xf>
    <xf numFmtId="37" fontId="1" fillId="0" borderId="19" xfId="0" applyNumberFormat="1" applyFont="1" applyFill="1" applyBorder="1" applyAlignment="1" applyProtection="1" quotePrefix="1">
      <alignment horizontal="center" vertical="center"/>
      <protection hidden="1"/>
    </xf>
    <xf numFmtId="0" fontId="0" fillId="0" borderId="0" xfId="0" applyFont="1" applyAlignment="1" applyProtection="1" quotePrefix="1">
      <alignment horizontal="center"/>
      <protection hidden="1"/>
    </xf>
    <xf numFmtId="176" fontId="0" fillId="0" borderId="0" xfId="0" applyNumberFormat="1" applyFont="1" applyFill="1" applyAlignment="1" applyProtection="1">
      <alignment horizontal="right"/>
      <protection hidden="1"/>
    </xf>
    <xf numFmtId="176" fontId="0" fillId="0" borderId="0" xfId="0" applyNumberFormat="1" applyFont="1" applyFill="1" applyAlignment="1" applyProtection="1">
      <alignment/>
      <protection hidden="1"/>
    </xf>
    <xf numFmtId="176" fontId="5" fillId="33" borderId="0" xfId="0" applyNumberFormat="1" applyFont="1" applyFill="1" applyBorder="1" applyAlignment="1" applyProtection="1">
      <alignment horizontal="right"/>
      <protection locked="0"/>
    </xf>
    <xf numFmtId="176" fontId="5" fillId="34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Alignment="1" applyProtection="1">
      <alignment horizontal="right"/>
      <protection hidden="1"/>
    </xf>
    <xf numFmtId="3" fontId="0" fillId="0" borderId="0" xfId="0" applyNumberFormat="1" applyFont="1" applyFill="1" applyAlignment="1" applyProtection="1">
      <alignment/>
      <protection hidden="1"/>
    </xf>
    <xf numFmtId="3" fontId="5" fillId="33" borderId="0" xfId="0" applyNumberFormat="1" applyFont="1" applyFill="1" applyBorder="1" applyAlignment="1" applyProtection="1">
      <alignment horizontal="right"/>
      <protection locked="0"/>
    </xf>
    <xf numFmtId="176" fontId="1" fillId="0" borderId="0" xfId="0" applyNumberFormat="1" applyFont="1" applyFill="1" applyBorder="1" applyAlignment="1" applyProtection="1">
      <alignment/>
      <protection hidden="1"/>
    </xf>
    <xf numFmtId="0" fontId="0" fillId="0" borderId="27" xfId="0" applyFont="1" applyBorder="1" applyAlignment="1" applyProtection="1" quotePrefix="1">
      <alignment horizontal="center"/>
      <protection hidden="1"/>
    </xf>
    <xf numFmtId="0" fontId="1" fillId="0" borderId="28" xfId="0" applyFont="1" applyBorder="1" applyAlignment="1" applyProtection="1" quotePrefix="1">
      <alignment horizontal="center"/>
      <protection hidden="1"/>
    </xf>
    <xf numFmtId="0" fontId="1" fillId="0" borderId="18" xfId="0" applyFont="1" applyFill="1" applyBorder="1" applyAlignment="1" applyProtection="1" quotePrefix="1">
      <alignment horizontal="center"/>
      <protection hidden="1"/>
    </xf>
    <xf numFmtId="0" fontId="1" fillId="0" borderId="29" xfId="0" applyFont="1" applyFill="1" applyBorder="1" applyAlignment="1" applyProtection="1" quotePrefix="1">
      <alignment horizontal="center"/>
      <protection hidden="1"/>
    </xf>
    <xf numFmtId="0" fontId="1" fillId="0" borderId="30" xfId="0" applyFont="1" applyFill="1" applyBorder="1" applyAlignment="1" applyProtection="1">
      <alignment horizontal="centerContinuous"/>
      <protection hidden="1"/>
    </xf>
    <xf numFmtId="0" fontId="1" fillId="0" borderId="31" xfId="0" applyFont="1" applyFill="1" applyBorder="1" applyAlignment="1" applyProtection="1">
      <alignment horizontal="centerContinuous"/>
      <protection hidden="1"/>
    </xf>
    <xf numFmtId="0" fontId="5" fillId="33" borderId="23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 quotePrefix="1">
      <alignment horizontal="center"/>
      <protection hidden="1"/>
    </xf>
    <xf numFmtId="0" fontId="28" fillId="0" borderId="0" xfId="0" applyFont="1" applyAlignment="1" applyProtection="1">
      <alignment/>
      <protection hidden="1"/>
    </xf>
    <xf numFmtId="176" fontId="1" fillId="0" borderId="24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37" fontId="1" fillId="33" borderId="33" xfId="0" applyNumberFormat="1" applyFont="1" applyFill="1" applyBorder="1" applyAlignment="1" applyProtection="1">
      <alignment horizontal="right"/>
      <protection locked="0"/>
    </xf>
    <xf numFmtId="176" fontId="5" fillId="0" borderId="34" xfId="0" applyNumberFormat="1" applyFont="1" applyFill="1" applyBorder="1" applyAlignment="1" applyProtection="1">
      <alignment horizontal="right"/>
      <protection hidden="1"/>
    </xf>
    <xf numFmtId="176" fontId="1" fillId="0" borderId="32" xfId="0" applyNumberFormat="1" applyFont="1" applyFill="1" applyBorder="1" applyAlignment="1" applyProtection="1">
      <alignment horizontal="right"/>
      <protection hidden="1"/>
    </xf>
    <xf numFmtId="176" fontId="1" fillId="0" borderId="35" xfId="0" applyNumberFormat="1" applyFont="1" applyBorder="1" applyAlignment="1" applyProtection="1">
      <alignment/>
      <protection hidden="1"/>
    </xf>
    <xf numFmtId="176" fontId="1" fillId="0" borderId="32" xfId="0" applyNumberFormat="1" applyFont="1" applyBorder="1" applyAlignment="1" applyProtection="1">
      <alignment horizontal="right"/>
      <protection hidden="1"/>
    </xf>
    <xf numFmtId="176" fontId="1" fillId="0" borderId="36" xfId="0" applyNumberFormat="1" applyFont="1" applyFill="1" applyBorder="1" applyAlignment="1" applyProtection="1">
      <alignment horizontal="right"/>
      <protection hidden="1"/>
    </xf>
    <xf numFmtId="176" fontId="5" fillId="0" borderId="37" xfId="0" applyNumberFormat="1" applyFont="1" applyFill="1" applyBorder="1" applyAlignment="1" applyProtection="1">
      <alignment horizontal="right"/>
      <protection hidden="1"/>
    </xf>
    <xf numFmtId="37" fontId="1" fillId="33" borderId="26" xfId="0" applyNumberFormat="1" applyFont="1" applyFill="1" applyBorder="1" applyAlignment="1" applyProtection="1">
      <alignment horizontal="right"/>
      <protection locked="0"/>
    </xf>
    <xf numFmtId="176" fontId="1" fillId="0" borderId="24" xfId="0" applyNumberFormat="1" applyFont="1" applyBorder="1" applyAlignment="1" applyProtection="1">
      <alignment horizontal="right"/>
      <protection hidden="1"/>
    </xf>
    <xf numFmtId="37" fontId="1" fillId="33" borderId="36" xfId="0" applyNumberFormat="1" applyFont="1" applyFill="1" applyBorder="1" applyAlignment="1" applyProtection="1">
      <alignment horizontal="right"/>
      <protection locked="0"/>
    </xf>
    <xf numFmtId="176" fontId="1" fillId="0" borderId="35" xfId="0" applyNumberFormat="1" applyFont="1" applyBorder="1" applyAlignment="1" applyProtection="1">
      <alignment horizontal="right"/>
      <protection hidden="1"/>
    </xf>
    <xf numFmtId="37" fontId="1" fillId="0" borderId="38" xfId="0" applyNumberFormat="1" applyFont="1" applyFill="1" applyBorder="1" applyAlignment="1" applyProtection="1">
      <alignment horizontal="right"/>
      <protection hidden="1"/>
    </xf>
    <xf numFmtId="173" fontId="1" fillId="0" borderId="0" xfId="0" applyNumberFormat="1" applyFont="1" applyFill="1" applyBorder="1" applyAlignment="1" applyProtection="1">
      <alignment horizontal="right"/>
      <protection hidden="1"/>
    </xf>
    <xf numFmtId="176" fontId="1" fillId="0" borderId="0" xfId="0" applyNumberFormat="1" applyFont="1" applyFill="1" applyBorder="1" applyAlignment="1" applyProtection="1">
      <alignment/>
      <protection hidden="1"/>
    </xf>
    <xf numFmtId="37" fontId="1" fillId="0" borderId="39" xfId="0" applyNumberFormat="1" applyFont="1" applyFill="1" applyBorder="1" applyAlignment="1" applyProtection="1">
      <alignment horizontal="right"/>
      <protection hidden="1"/>
    </xf>
    <xf numFmtId="37" fontId="1" fillId="0" borderId="40" xfId="0" applyNumberFormat="1" applyFont="1" applyFill="1" applyBorder="1" applyAlignment="1" applyProtection="1">
      <alignment horizontal="right"/>
      <protection hidden="1"/>
    </xf>
    <xf numFmtId="0" fontId="0" fillId="0" borderId="39" xfId="0" applyFont="1" applyBorder="1" applyAlignment="1" applyProtection="1">
      <alignment/>
      <protection hidden="1"/>
    </xf>
    <xf numFmtId="173" fontId="0" fillId="0" borderId="0" xfId="0" applyNumberFormat="1" applyFont="1" applyAlignment="1" applyProtection="1">
      <alignment/>
      <protection hidden="1"/>
    </xf>
    <xf numFmtId="0" fontId="0" fillId="0" borderId="40" xfId="0" applyFont="1" applyBorder="1" applyAlignment="1" applyProtection="1">
      <alignment/>
      <protection hidden="1"/>
    </xf>
    <xf numFmtId="0" fontId="0" fillId="0" borderId="32" xfId="0" applyFont="1" applyBorder="1" applyAlignment="1" applyProtection="1">
      <alignment/>
      <protection hidden="1"/>
    </xf>
    <xf numFmtId="0" fontId="1" fillId="0" borderId="19" xfId="0" applyFont="1" applyBorder="1" applyAlignment="1" applyProtection="1">
      <alignment horizontal="center"/>
      <protection hidden="1"/>
    </xf>
    <xf numFmtId="37" fontId="1" fillId="0" borderId="41" xfId="0" applyNumberFormat="1" applyFont="1" applyFill="1" applyBorder="1" applyAlignment="1" applyProtection="1">
      <alignment horizontal="right"/>
      <protection hidden="1"/>
    </xf>
    <xf numFmtId="176" fontId="1" fillId="0" borderId="42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/>
      <protection hidden="1"/>
    </xf>
    <xf numFmtId="173" fontId="1" fillId="0" borderId="0" xfId="0" applyNumberFormat="1" applyFont="1" applyFill="1" applyBorder="1" applyAlignment="1" applyProtection="1">
      <alignment horizontal="center"/>
      <protection hidden="1"/>
    </xf>
    <xf numFmtId="173" fontId="1" fillId="0" borderId="32" xfId="0" applyNumberFormat="1" applyFont="1" applyFill="1" applyBorder="1" applyAlignment="1" applyProtection="1">
      <alignment horizontal="center"/>
      <protection hidden="1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1" fontId="1" fillId="0" borderId="32" xfId="0" applyNumberFormat="1" applyFont="1" applyFill="1" applyBorder="1" applyAlignment="1" applyProtection="1">
      <alignment horizontal="center"/>
      <protection hidden="1"/>
    </xf>
    <xf numFmtId="49" fontId="7" fillId="34" borderId="0" xfId="0" applyNumberFormat="1" applyFont="1" applyFill="1" applyAlignment="1" applyProtection="1">
      <alignment horizontal="left"/>
      <protection hidden="1"/>
    </xf>
    <xf numFmtId="3" fontId="5" fillId="0" borderId="0" xfId="0" applyNumberFormat="1" applyFont="1" applyFill="1" applyAlignment="1" applyProtection="1">
      <alignment/>
      <protection hidden="1"/>
    </xf>
    <xf numFmtId="176" fontId="5" fillId="0" borderId="0" xfId="0" applyNumberFormat="1" applyFont="1" applyAlignment="1" applyProtection="1">
      <alignment/>
      <protection hidden="1"/>
    </xf>
    <xf numFmtId="176" fontId="0" fillId="0" borderId="0" xfId="0" applyNumberFormat="1" applyFont="1" applyBorder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0" fontId="1" fillId="0" borderId="43" xfId="0" applyFont="1" applyFill="1" applyBorder="1" applyAlignment="1" applyProtection="1">
      <alignment horizontal="center"/>
      <protection hidden="1"/>
    </xf>
    <xf numFmtId="37" fontId="1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176" fontId="1" fillId="0" borderId="44" xfId="0" applyNumberFormat="1" applyFont="1" applyFill="1" applyBorder="1" applyAlignment="1" applyProtection="1">
      <alignment horizontal="right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" fontId="1" fillId="0" borderId="19" xfId="0" applyNumberFormat="1" applyFont="1" applyFill="1" applyBorder="1" applyAlignment="1" applyProtection="1">
      <alignment horizontal="center"/>
      <protection hidden="1"/>
    </xf>
    <xf numFmtId="37" fontId="1" fillId="33" borderId="45" xfId="0" applyNumberFormat="1" applyFont="1" applyFill="1" applyBorder="1" applyAlignment="1" applyProtection="1">
      <alignment horizontal="right"/>
      <protection locked="0"/>
    </xf>
    <xf numFmtId="176" fontId="5" fillId="0" borderId="46" xfId="0" applyNumberFormat="1" applyFont="1" applyFill="1" applyBorder="1" applyAlignment="1" applyProtection="1">
      <alignment horizontal="right"/>
      <protection hidden="1"/>
    </xf>
    <xf numFmtId="176" fontId="1" fillId="0" borderId="19" xfId="0" applyNumberFormat="1" applyFont="1" applyFill="1" applyBorder="1" applyAlignment="1" applyProtection="1">
      <alignment horizontal="right"/>
      <protection hidden="1"/>
    </xf>
    <xf numFmtId="176" fontId="1" fillId="0" borderId="47" xfId="0" applyNumberFormat="1" applyFont="1" applyBorder="1" applyAlignment="1" applyProtection="1">
      <alignment/>
      <protection hidden="1"/>
    </xf>
    <xf numFmtId="176" fontId="1" fillId="0" borderId="47" xfId="0" applyNumberFormat="1" applyFont="1" applyBorder="1" applyAlignment="1" applyProtection="1">
      <alignment horizontal="right"/>
      <protection hidden="1"/>
    </xf>
    <xf numFmtId="176" fontId="1" fillId="0" borderId="45" xfId="0" applyNumberFormat="1" applyFont="1" applyFill="1" applyBorder="1" applyAlignment="1" applyProtection="1">
      <alignment horizontal="right"/>
      <protection hidden="1"/>
    </xf>
    <xf numFmtId="176" fontId="1" fillId="0" borderId="48" xfId="0" applyNumberFormat="1" applyFont="1" applyBorder="1" applyAlignment="1" applyProtection="1">
      <alignment/>
      <protection hidden="1"/>
    </xf>
    <xf numFmtId="0" fontId="1" fillId="0" borderId="19" xfId="0" applyFont="1" applyBorder="1" applyAlignment="1" applyProtection="1">
      <alignment horizontal="right"/>
      <protection hidden="1"/>
    </xf>
    <xf numFmtId="37" fontId="1" fillId="0" borderId="19" xfId="0" applyNumberFormat="1" applyFont="1" applyBorder="1" applyAlignment="1" applyProtection="1">
      <alignment/>
      <protection hidden="1"/>
    </xf>
    <xf numFmtId="0" fontId="1" fillId="0" borderId="32" xfId="0" applyFont="1" applyBorder="1" applyAlignment="1" applyProtection="1">
      <alignment horizontal="center"/>
      <protection hidden="1"/>
    </xf>
    <xf numFmtId="10" fontId="1" fillId="0" borderId="0" xfId="0" applyNumberFormat="1" applyFont="1" applyAlignment="1" applyProtection="1">
      <alignment/>
      <protection hidden="1"/>
    </xf>
    <xf numFmtId="176" fontId="5" fillId="33" borderId="25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 quotePrefix="1">
      <alignment horizontal="right" vertical="center"/>
      <protection hidden="1"/>
    </xf>
    <xf numFmtId="171" fontId="5" fillId="33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 vertical="center"/>
      <protection hidden="1"/>
    </xf>
    <xf numFmtId="0" fontId="15" fillId="0" borderId="0" xfId="0" applyFont="1" applyAlignment="1" applyProtection="1" quotePrefix="1">
      <alignment horizontal="left"/>
      <protection hidden="1"/>
    </xf>
    <xf numFmtId="173" fontId="1" fillId="0" borderId="0" xfId="0" applyNumberFormat="1" applyFont="1" applyAlignment="1" applyProtection="1">
      <alignment horizontal="center"/>
      <protection hidden="1"/>
    </xf>
    <xf numFmtId="173" fontId="1" fillId="0" borderId="0" xfId="0" applyNumberFormat="1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2" fontId="1" fillId="0" borderId="0" xfId="0" applyNumberFormat="1" applyFont="1" applyAlignment="1" applyProtection="1">
      <alignment/>
      <protection hidden="1"/>
    </xf>
    <xf numFmtId="166" fontId="1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1" fillId="0" borderId="19" xfId="0" applyFont="1" applyFill="1" applyBorder="1" applyAlignment="1" applyProtection="1">
      <alignment/>
      <protection hidden="1"/>
    </xf>
    <xf numFmtId="0" fontId="1" fillId="0" borderId="19" xfId="0" applyFont="1" applyBorder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34" fillId="0" borderId="0" xfId="43" applyFont="1" applyAlignment="1" applyProtection="1">
      <alignment horizontal="center"/>
      <protection hidden="1"/>
    </xf>
    <xf numFmtId="0" fontId="23" fillId="0" borderId="0" xfId="0" applyFont="1" applyBorder="1" applyAlignment="1" applyProtection="1" quotePrefix="1">
      <alignment horizontal="center"/>
      <protection hidden="1"/>
    </xf>
    <xf numFmtId="0" fontId="26" fillId="0" borderId="0" xfId="0" applyFont="1" applyAlignment="1" applyProtection="1">
      <alignment/>
      <protection hidden="1"/>
    </xf>
    <xf numFmtId="0" fontId="36" fillId="0" borderId="49" xfId="0" applyFont="1" applyBorder="1" applyAlignment="1" applyProtection="1">
      <alignment horizontal="right"/>
      <protection hidden="1"/>
    </xf>
    <xf numFmtId="37" fontId="36" fillId="0" borderId="50" xfId="0" applyNumberFormat="1" applyFont="1" applyBorder="1" applyAlignment="1" applyProtection="1">
      <alignment horizontal="left"/>
      <protection hidden="1"/>
    </xf>
    <xf numFmtId="0" fontId="36" fillId="0" borderId="51" xfId="0" applyFont="1" applyBorder="1" applyAlignment="1" applyProtection="1">
      <alignment horizontal="right"/>
      <protection hidden="1"/>
    </xf>
    <xf numFmtId="37" fontId="36" fillId="0" borderId="52" xfId="0" applyNumberFormat="1" applyFont="1" applyBorder="1" applyAlignment="1" applyProtection="1">
      <alignment horizontal="left"/>
      <protection hidden="1"/>
    </xf>
    <xf numFmtId="0" fontId="5" fillId="0" borderId="53" xfId="0" applyFont="1" applyFill="1" applyBorder="1" applyAlignment="1" applyProtection="1">
      <alignment/>
      <protection hidden="1"/>
    </xf>
    <xf numFmtId="0" fontId="0" fillId="0" borderId="26" xfId="0" applyFont="1" applyFill="1" applyBorder="1" applyAlignment="1" applyProtection="1">
      <alignment/>
      <protection hidden="1"/>
    </xf>
    <xf numFmtId="172" fontId="6" fillId="34" borderId="0" xfId="0" applyNumberFormat="1" applyFont="1" applyFill="1" applyBorder="1" applyAlignment="1" applyProtection="1">
      <alignment horizontal="center"/>
      <protection hidden="1"/>
    </xf>
    <xf numFmtId="172" fontId="37" fillId="34" borderId="0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Alignment="1" applyProtection="1" quotePrefix="1">
      <alignment horizontal="left"/>
      <protection hidden="1"/>
    </xf>
    <xf numFmtId="0" fontId="38" fillId="34" borderId="0" xfId="43" applyFont="1" applyFill="1" applyAlignment="1" applyProtection="1">
      <alignment horizontal="right"/>
      <protection hidden="1"/>
    </xf>
    <xf numFmtId="0" fontId="40" fillId="0" borderId="54" xfId="65" applyBorder="1">
      <alignment/>
      <protection/>
    </xf>
    <xf numFmtId="0" fontId="41" fillId="0" borderId="54" xfId="65" applyFont="1" applyBorder="1">
      <alignment/>
      <protection/>
    </xf>
    <xf numFmtId="0" fontId="41" fillId="0" borderId="0" xfId="65" applyFont="1" applyBorder="1">
      <alignment/>
      <protection/>
    </xf>
    <xf numFmtId="0" fontId="40" fillId="0" borderId="0" xfId="65" applyFont="1" applyBorder="1">
      <alignment/>
      <protection/>
    </xf>
    <xf numFmtId="49" fontId="40" fillId="0" borderId="54" xfId="65" applyNumberFormat="1" applyBorder="1" applyAlignment="1">
      <alignment horizontal="center"/>
      <protection/>
    </xf>
    <xf numFmtId="0" fontId="0" fillId="0" borderId="54" xfId="0" applyBorder="1" applyAlignment="1">
      <alignment/>
    </xf>
    <xf numFmtId="3" fontId="0" fillId="0" borderId="54" xfId="0" applyNumberFormat="1" applyBorder="1" applyAlignment="1">
      <alignment horizontal="center"/>
    </xf>
    <xf numFmtId="10" fontId="0" fillId="0" borderId="54" xfId="76" applyNumberFormat="1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4" fontId="0" fillId="0" borderId="54" xfId="0" applyNumberForma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/>
    </xf>
    <xf numFmtId="10" fontId="0" fillId="0" borderId="0" xfId="76" applyNumberFormat="1" applyFont="1" applyBorder="1" applyAlignment="1">
      <alignment horizontal="center"/>
    </xf>
    <xf numFmtId="0" fontId="7" fillId="0" borderId="54" xfId="0" applyFont="1" applyBorder="1" applyAlignment="1">
      <alignment/>
    </xf>
    <xf numFmtId="4" fontId="7" fillId="0" borderId="54" xfId="0" applyNumberFormat="1" applyFont="1" applyBorder="1" applyAlignment="1">
      <alignment horizontal="center"/>
    </xf>
    <xf numFmtId="3" fontId="7" fillId="0" borderId="54" xfId="0" applyNumberFormat="1" applyFont="1" applyBorder="1" applyAlignment="1">
      <alignment horizontal="center"/>
    </xf>
    <xf numFmtId="10" fontId="41" fillId="0" borderId="0" xfId="70" applyNumberFormat="1" applyFont="1" applyBorder="1" applyAlignment="1">
      <alignment/>
    </xf>
    <xf numFmtId="0" fontId="41" fillId="0" borderId="54" xfId="66" applyFont="1" applyBorder="1">
      <alignment/>
      <protection/>
    </xf>
    <xf numFmtId="3" fontId="0" fillId="0" borderId="0" xfId="0" applyNumberFormat="1" applyAlignment="1">
      <alignment/>
    </xf>
    <xf numFmtId="177" fontId="5" fillId="33" borderId="0" xfId="0" applyNumberFormat="1" applyFont="1" applyFill="1" applyAlignment="1" applyProtection="1">
      <alignment/>
      <protection locked="0"/>
    </xf>
    <xf numFmtId="178" fontId="5" fillId="33" borderId="0" xfId="0" applyNumberFormat="1" applyFont="1" applyFill="1" applyAlignment="1" applyProtection="1">
      <alignment/>
      <protection locked="0"/>
    </xf>
    <xf numFmtId="3" fontId="41" fillId="0" borderId="54" xfId="65" applyNumberFormat="1" applyFont="1" applyBorder="1" applyAlignment="1">
      <alignment horizontal="right" indent="1"/>
      <protection/>
    </xf>
    <xf numFmtId="3" fontId="40" fillId="0" borderId="54" xfId="65" applyNumberFormat="1" applyFont="1" applyBorder="1" applyAlignment="1">
      <alignment horizontal="right" indent="1"/>
      <protection/>
    </xf>
    <xf numFmtId="3" fontId="0" fillId="0" borderId="54" xfId="0" applyNumberFormat="1" applyBorder="1" applyAlignment="1">
      <alignment horizontal="right"/>
    </xf>
    <xf numFmtId="0" fontId="41" fillId="0" borderId="54" xfId="0" applyFont="1" applyBorder="1" applyAlignment="1">
      <alignment/>
    </xf>
    <xf numFmtId="0" fontId="41" fillId="0" borderId="54" xfId="0" applyFont="1" applyBorder="1" applyAlignment="1">
      <alignment horizontal="center"/>
    </xf>
    <xf numFmtId="0" fontId="40" fillId="0" borderId="54" xfId="0" applyFont="1" applyBorder="1" applyAlignment="1">
      <alignment/>
    </xf>
    <xf numFmtId="0" fontId="40" fillId="0" borderId="54" xfId="0" applyFont="1" applyBorder="1" applyAlignment="1">
      <alignment horizontal="center"/>
    </xf>
    <xf numFmtId="0" fontId="40" fillId="0" borderId="54" xfId="65" applyFont="1" applyBorder="1">
      <alignment/>
      <protection/>
    </xf>
    <xf numFmtId="0" fontId="52" fillId="0" borderId="0" xfId="65" applyFont="1">
      <alignment/>
      <protection/>
    </xf>
    <xf numFmtId="3" fontId="40" fillId="0" borderId="0" xfId="65" applyNumberFormat="1">
      <alignment/>
      <protection/>
    </xf>
    <xf numFmtId="3" fontId="40" fillId="0" borderId="0" xfId="65" applyNumberFormat="1" applyFont="1">
      <alignment/>
      <protection/>
    </xf>
    <xf numFmtId="0" fontId="40" fillId="0" borderId="0" xfId="65" applyFont="1">
      <alignment/>
      <protection/>
    </xf>
    <xf numFmtId="0" fontId="40" fillId="0" borderId="0" xfId="65">
      <alignment/>
      <protection/>
    </xf>
    <xf numFmtId="0" fontId="41" fillId="0" borderId="0" xfId="65" applyFont="1">
      <alignment/>
      <protection/>
    </xf>
    <xf numFmtId="0" fontId="41" fillId="0" borderId="54" xfId="65" applyFont="1" applyBorder="1" applyAlignment="1">
      <alignment horizontal="center"/>
      <protection/>
    </xf>
    <xf numFmtId="3" fontId="41" fillId="0" borderId="54" xfId="65" applyNumberFormat="1" applyFont="1" applyBorder="1" applyAlignment="1">
      <alignment horizontal="center"/>
      <protection/>
    </xf>
    <xf numFmtId="3" fontId="40" fillId="0" borderId="54" xfId="65" applyNumberFormat="1" applyFont="1" applyBorder="1">
      <alignment/>
      <protection/>
    </xf>
    <xf numFmtId="175" fontId="40" fillId="0" borderId="54" xfId="70" applyNumberFormat="1" applyFont="1" applyBorder="1" applyAlignment="1">
      <alignment/>
    </xf>
    <xf numFmtId="3" fontId="40" fillId="35" borderId="54" xfId="65" applyNumberFormat="1" applyFont="1" applyFill="1" applyBorder="1">
      <alignment/>
      <protection/>
    </xf>
    <xf numFmtId="3" fontId="41" fillId="0" borderId="54" xfId="65" applyNumberFormat="1" applyFont="1" applyBorder="1">
      <alignment/>
      <protection/>
    </xf>
    <xf numFmtId="175" fontId="41" fillId="0" borderId="54" xfId="70" applyNumberFormat="1" applyFont="1" applyBorder="1" applyAlignment="1">
      <alignment/>
    </xf>
    <xf numFmtId="0" fontId="40" fillId="0" borderId="0" xfId="65" applyFont="1" applyBorder="1" applyAlignment="1">
      <alignment horizontal="center"/>
      <protection/>
    </xf>
    <xf numFmtId="0" fontId="40" fillId="0" borderId="0" xfId="65" applyFont="1" applyFill="1" applyBorder="1">
      <alignment/>
      <protection/>
    </xf>
    <xf numFmtId="0" fontId="41" fillId="0" borderId="0" xfId="65" applyFont="1" applyBorder="1" applyAlignment="1">
      <alignment horizontal="center"/>
      <protection/>
    </xf>
    <xf numFmtId="3" fontId="42" fillId="0" borderId="0" xfId="65" applyNumberFormat="1" applyFont="1" applyBorder="1" applyAlignment="1">
      <alignment horizontal="right"/>
      <protection/>
    </xf>
    <xf numFmtId="0" fontId="41" fillId="0" borderId="0" xfId="65" applyFont="1" applyAlignment="1">
      <alignment horizontal="center"/>
      <protection/>
    </xf>
    <xf numFmtId="0" fontId="40" fillId="0" borderId="0" xfId="65" applyAlignment="1">
      <alignment horizontal="center"/>
      <protection/>
    </xf>
    <xf numFmtId="0" fontId="40" fillId="0" borderId="54" xfId="65" applyFont="1" applyBorder="1" applyAlignment="1">
      <alignment horizontal="center"/>
      <protection/>
    </xf>
    <xf numFmtId="3" fontId="53" fillId="0" borderId="54" xfId="65" applyNumberFormat="1" applyFont="1" applyBorder="1">
      <alignment/>
      <protection/>
    </xf>
    <xf numFmtId="10" fontId="40" fillId="0" borderId="54" xfId="70" applyNumberFormat="1" applyFont="1" applyBorder="1" applyAlignment="1">
      <alignment/>
    </xf>
    <xf numFmtId="3" fontId="53" fillId="0" borderId="0" xfId="65" applyNumberFormat="1" applyFont="1" applyBorder="1">
      <alignment/>
      <protection/>
    </xf>
    <xf numFmtId="10" fontId="40" fillId="0" borderId="0" xfId="70" applyNumberFormat="1" applyFont="1" applyBorder="1" applyAlignment="1">
      <alignment/>
    </xf>
    <xf numFmtId="3" fontId="103" fillId="0" borderId="54" xfId="65" applyNumberFormat="1" applyFont="1" applyBorder="1">
      <alignment/>
      <protection/>
    </xf>
    <xf numFmtId="10" fontId="40" fillId="0" borderId="0" xfId="70" applyNumberFormat="1" applyFont="1" applyAlignment="1">
      <alignment/>
    </xf>
    <xf numFmtId="1" fontId="41" fillId="36" borderId="54" xfId="0" applyNumberFormat="1" applyFont="1" applyFill="1" applyBorder="1" applyAlignment="1">
      <alignment horizontal="center"/>
    </xf>
    <xf numFmtId="175" fontId="40" fillId="0" borderId="54" xfId="70" applyNumberFormat="1" applyFont="1" applyBorder="1" applyAlignment="1">
      <alignment horizontal="right" indent="1"/>
    </xf>
    <xf numFmtId="175" fontId="41" fillId="0" borderId="54" xfId="70" applyNumberFormat="1" applyFont="1" applyBorder="1" applyAlignment="1">
      <alignment horizontal="right" indent="1"/>
    </xf>
    <xf numFmtId="175" fontId="0" fillId="0" borderId="54" xfId="76" applyNumberFormat="1" applyFont="1" applyBorder="1" applyAlignment="1">
      <alignment horizontal="center"/>
    </xf>
    <xf numFmtId="175" fontId="7" fillId="0" borderId="54" xfId="76" applyNumberFormat="1" applyFont="1" applyBorder="1" applyAlignment="1">
      <alignment horizontal="center"/>
    </xf>
    <xf numFmtId="175" fontId="0" fillId="0" borderId="0" xfId="76" applyNumberFormat="1" applyFont="1" applyAlignment="1">
      <alignment/>
    </xf>
    <xf numFmtId="4" fontId="41" fillId="0" borderId="0" xfId="62" applyNumberFormat="1" applyFont="1" applyFill="1" applyBorder="1" applyAlignment="1">
      <alignment horizontal="right" vertical="center" wrapText="1" indent="1"/>
      <protection/>
    </xf>
    <xf numFmtId="0" fontId="41" fillId="0" borderId="0" xfId="62" applyFont="1" applyFill="1" applyBorder="1" applyAlignment="1">
      <alignment horizontal="center" vertical="center" wrapText="1"/>
      <protection/>
    </xf>
    <xf numFmtId="49" fontId="41" fillId="0" borderId="0" xfId="62" applyNumberFormat="1" applyFont="1" applyFill="1" applyBorder="1" applyAlignment="1">
      <alignment vertical="center" wrapText="1"/>
      <protection/>
    </xf>
    <xf numFmtId="49" fontId="41" fillId="0" borderId="0" xfId="62" applyNumberFormat="1" applyFont="1" applyFill="1" applyBorder="1" applyAlignment="1">
      <alignment horizontal="center" vertical="center" wrapText="1"/>
      <protection/>
    </xf>
    <xf numFmtId="4" fontId="41" fillId="0" borderId="54" xfId="62" applyNumberFormat="1" applyFont="1" applyFill="1" applyBorder="1" applyAlignment="1">
      <alignment horizontal="right" vertical="center" wrapText="1" indent="1"/>
      <protection/>
    </xf>
    <xf numFmtId="0" fontId="40" fillId="0" borderId="54" xfId="62" applyFont="1" applyFill="1" applyBorder="1" applyAlignment="1">
      <alignment horizontal="center" vertical="center" wrapText="1"/>
      <protection/>
    </xf>
    <xf numFmtId="0" fontId="41" fillId="0" borderId="54" xfId="62" applyFont="1" applyFill="1" applyBorder="1" applyAlignment="1">
      <alignment horizontal="center" vertical="center" wrapText="1"/>
      <protection/>
    </xf>
    <xf numFmtId="49" fontId="41" fillId="0" borderId="54" xfId="62" applyNumberFormat="1" applyFont="1" applyFill="1" applyBorder="1" applyAlignment="1">
      <alignment vertical="center" wrapText="1"/>
      <protection/>
    </xf>
    <xf numFmtId="49" fontId="40" fillId="0" borderId="54" xfId="62" applyNumberFormat="1" applyFont="1" applyFill="1" applyBorder="1" applyAlignment="1">
      <alignment vertical="center" wrapText="1"/>
      <protection/>
    </xf>
    <xf numFmtId="49" fontId="41" fillId="0" borderId="54" xfId="62" applyNumberFormat="1" applyFont="1" applyFill="1" applyBorder="1" applyAlignment="1">
      <alignment horizontal="left" vertical="center" wrapText="1"/>
      <protection/>
    </xf>
    <xf numFmtId="49" fontId="41" fillId="0" borderId="47" xfId="62" applyNumberFormat="1" applyFont="1" applyFill="1" applyBorder="1" applyAlignment="1">
      <alignment horizontal="left" vertical="center" wrapText="1"/>
      <protection/>
    </xf>
    <xf numFmtId="0" fontId="40" fillId="0" borderId="0" xfId="62">
      <alignment/>
      <protection/>
    </xf>
    <xf numFmtId="49" fontId="40" fillId="0" borderId="0" xfId="62" applyNumberFormat="1" applyFont="1" applyBorder="1" applyAlignment="1">
      <alignment/>
      <protection/>
    </xf>
    <xf numFmtId="0" fontId="54" fillId="0" borderId="0" xfId="62" applyFont="1" applyAlignment="1">
      <alignment wrapText="1"/>
      <protection/>
    </xf>
    <xf numFmtId="3" fontId="55" fillId="0" borderId="55" xfId="62" applyNumberFormat="1" applyFont="1" applyBorder="1" applyAlignment="1">
      <alignment horizontal="center"/>
      <protection/>
    </xf>
    <xf numFmtId="0" fontId="40" fillId="0" borderId="55" xfId="62" applyFont="1" applyBorder="1" applyAlignment="1">
      <alignment horizontal="center"/>
      <protection/>
    </xf>
    <xf numFmtId="0" fontId="40" fillId="0" borderId="56" xfId="62" applyFont="1" applyBorder="1" applyAlignment="1">
      <alignment horizontal="center"/>
      <protection/>
    </xf>
    <xf numFmtId="0" fontId="55" fillId="0" borderId="57" xfId="62" applyFont="1" applyBorder="1" applyAlignment="1">
      <alignment horizontal="center"/>
      <protection/>
    </xf>
    <xf numFmtId="0" fontId="55" fillId="0" borderId="47" xfId="62" applyFont="1" applyBorder="1" applyAlignment="1">
      <alignment horizontal="center"/>
      <protection/>
    </xf>
    <xf numFmtId="3" fontId="55" fillId="0" borderId="47" xfId="62" applyNumberFormat="1" applyFont="1" applyBorder="1" applyAlignment="1">
      <alignment horizontal="center"/>
      <protection/>
    </xf>
    <xf numFmtId="3" fontId="55" fillId="0" borderId="54" xfId="62" applyNumberFormat="1" applyFont="1" applyBorder="1" applyAlignment="1">
      <alignment horizontal="center"/>
      <protection/>
    </xf>
    <xf numFmtId="0" fontId="40" fillId="0" borderId="54" xfId="62" applyFont="1" applyBorder="1" applyAlignment="1">
      <alignment horizontal="center"/>
      <protection/>
    </xf>
    <xf numFmtId="0" fontId="40" fillId="0" borderId="58" xfId="62" applyFont="1" applyBorder="1" applyAlignment="1">
      <alignment horizontal="center"/>
      <protection/>
    </xf>
    <xf numFmtId="0" fontId="55" fillId="0" borderId="54" xfId="62" applyFont="1" applyBorder="1" applyAlignment="1">
      <alignment horizontal="center"/>
      <protection/>
    </xf>
    <xf numFmtId="0" fontId="55" fillId="0" borderId="59" xfId="62" applyFont="1" applyBorder="1" applyAlignment="1">
      <alignment horizontal="center" vertical="center" wrapText="1"/>
      <protection/>
    </xf>
    <xf numFmtId="0" fontId="55" fillId="0" borderId="55" xfId="62" applyFont="1" applyBorder="1" applyAlignment="1">
      <alignment horizontal="center" vertical="center" wrapText="1"/>
      <protection/>
    </xf>
    <xf numFmtId="170" fontId="104" fillId="0" borderId="0" xfId="62" applyNumberFormat="1" applyFont="1" applyBorder="1" applyAlignment="1">
      <alignment horizontal="left" vertical="center" indent="1"/>
      <protection/>
    </xf>
    <xf numFmtId="0" fontId="41" fillId="0" borderId="47" xfId="62" applyFont="1" applyFill="1" applyBorder="1" applyAlignment="1">
      <alignment horizontal="center" vertical="center" wrapText="1"/>
      <protection/>
    </xf>
    <xf numFmtId="0" fontId="86" fillId="0" borderId="0" xfId="63">
      <alignment/>
      <protection/>
    </xf>
    <xf numFmtId="0" fontId="86" fillId="0" borderId="54" xfId="63" applyBorder="1">
      <alignment/>
      <protection/>
    </xf>
    <xf numFmtId="0" fontId="88" fillId="0" borderId="54" xfId="63" applyFont="1" applyBorder="1">
      <alignment/>
      <protection/>
    </xf>
    <xf numFmtId="3" fontId="88" fillId="0" borderId="54" xfId="63" applyNumberFormat="1" applyFont="1" applyBorder="1">
      <alignment/>
      <protection/>
    </xf>
    <xf numFmtId="3" fontId="86" fillId="0" borderId="54" xfId="63" applyNumberFormat="1" applyBorder="1">
      <alignment/>
      <protection/>
    </xf>
    <xf numFmtId="0" fontId="86" fillId="0" borderId="54" xfId="63" applyFont="1" applyBorder="1">
      <alignment/>
      <protection/>
    </xf>
    <xf numFmtId="0" fontId="88" fillId="0" borderId="54" xfId="63" applyFont="1" applyBorder="1" applyAlignment="1">
      <alignment horizontal="center"/>
      <protection/>
    </xf>
    <xf numFmtId="0" fontId="105" fillId="0" borderId="0" xfId="63" applyFont="1">
      <alignment/>
      <protection/>
    </xf>
    <xf numFmtId="0" fontId="86" fillId="0" borderId="54" xfId="63" applyBorder="1" applyAlignment="1">
      <alignment horizontal="center"/>
      <protection/>
    </xf>
    <xf numFmtId="0" fontId="86" fillId="0" borderId="0" xfId="63" applyFill="1" applyBorder="1">
      <alignment/>
      <protection/>
    </xf>
    <xf numFmtId="0" fontId="86" fillId="36" borderId="54" xfId="63" applyFill="1" applyBorder="1">
      <alignment/>
      <protection/>
    </xf>
    <xf numFmtId="0" fontId="86" fillId="0" borderId="54" xfId="63" applyFont="1" applyBorder="1" applyAlignment="1">
      <alignment horizontal="center"/>
      <protection/>
    </xf>
    <xf numFmtId="4" fontId="88" fillId="0" borderId="54" xfId="63" applyNumberFormat="1" applyFont="1" applyBorder="1" applyAlignment="1">
      <alignment horizontal="right"/>
      <protection/>
    </xf>
    <xf numFmtId="0" fontId="86" fillId="0" borderId="24" xfId="63" applyFill="1" applyBorder="1">
      <alignment/>
      <protection/>
    </xf>
    <xf numFmtId="4" fontId="86" fillId="0" borderId="0" xfId="63" applyNumberFormat="1">
      <alignment/>
      <protection/>
    </xf>
    <xf numFmtId="3" fontId="88" fillId="0" borderId="54" xfId="63" applyNumberFormat="1" applyFont="1" applyBorder="1" applyAlignment="1">
      <alignment horizontal="right"/>
      <protection/>
    </xf>
    <xf numFmtId="4" fontId="88" fillId="0" borderId="54" xfId="63" applyNumberFormat="1" applyFont="1" applyBorder="1">
      <alignment/>
      <protection/>
    </xf>
    <xf numFmtId="2" fontId="88" fillId="0" borderId="54" xfId="63" applyNumberFormat="1" applyFont="1" applyBorder="1">
      <alignment/>
      <protection/>
    </xf>
    <xf numFmtId="10" fontId="86" fillId="0" borderId="0" xfId="73" applyNumberFormat="1" applyFont="1" applyAlignment="1">
      <alignment/>
    </xf>
    <xf numFmtId="0" fontId="106" fillId="0" borderId="0" xfId="63" applyFont="1">
      <alignment/>
      <protection/>
    </xf>
    <xf numFmtId="0" fontId="22" fillId="0" borderId="11" xfId="0" applyFont="1" applyBorder="1" applyAlignment="1">
      <alignment horizontal="center" vertical="center"/>
    </xf>
    <xf numFmtId="0" fontId="40" fillId="0" borderId="60" xfId="62" applyFont="1" applyBorder="1" applyAlignment="1">
      <alignment horizontal="center"/>
      <protection/>
    </xf>
    <xf numFmtId="0" fontId="40" fillId="0" borderId="61" xfId="62" applyFont="1" applyBorder="1" applyAlignment="1">
      <alignment horizontal="center"/>
      <protection/>
    </xf>
    <xf numFmtId="3" fontId="55" fillId="0" borderId="61" xfId="62" applyNumberFormat="1" applyFont="1" applyBorder="1" applyAlignment="1">
      <alignment horizontal="center"/>
      <protection/>
    </xf>
    <xf numFmtId="0" fontId="55" fillId="0" borderId="61" xfId="62" applyFont="1" applyBorder="1" applyAlignment="1">
      <alignment horizontal="center"/>
      <protection/>
    </xf>
    <xf numFmtId="0" fontId="55" fillId="0" borderId="62" xfId="62" applyFont="1" applyBorder="1" applyAlignment="1">
      <alignment horizontal="center"/>
      <protection/>
    </xf>
    <xf numFmtId="3" fontId="55" fillId="0" borderId="63" xfId="62" applyNumberFormat="1" applyFont="1" applyBorder="1" applyAlignment="1">
      <alignment horizontal="center"/>
      <protection/>
    </xf>
    <xf numFmtId="0" fontId="55" fillId="0" borderId="63" xfId="62" applyFont="1" applyBorder="1" applyAlignment="1">
      <alignment horizontal="center"/>
      <protection/>
    </xf>
    <xf numFmtId="0" fontId="55" fillId="0" borderId="64" xfId="62" applyFont="1" applyBorder="1" applyAlignment="1">
      <alignment horizontal="center"/>
      <protection/>
    </xf>
    <xf numFmtId="0" fontId="0" fillId="0" borderId="65" xfId="0" applyBorder="1" applyAlignment="1">
      <alignment/>
    </xf>
    <xf numFmtId="0" fontId="0" fillId="0" borderId="14" xfId="0" applyBorder="1" applyAlignment="1">
      <alignment/>
    </xf>
    <xf numFmtId="0" fontId="0" fillId="0" borderId="54" xfId="0" applyBorder="1" applyAlignment="1">
      <alignment vertical="center"/>
    </xf>
    <xf numFmtId="4" fontId="0" fillId="0" borderId="54" xfId="0" applyNumberFormat="1" applyBorder="1" applyAlignment="1">
      <alignment horizontal="center" vertical="center"/>
    </xf>
    <xf numFmtId="0" fontId="7" fillId="0" borderId="54" xfId="0" applyFont="1" applyBorder="1" applyAlignment="1">
      <alignment vertical="center"/>
    </xf>
    <xf numFmtId="4" fontId="7" fillId="0" borderId="54" xfId="0" applyNumberFormat="1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7" fillId="36" borderId="66" xfId="0" applyFont="1" applyFill="1" applyBorder="1" applyAlignment="1">
      <alignment horizontal="center" vertical="center" wrapText="1"/>
    </xf>
    <xf numFmtId="3" fontId="0" fillId="0" borderId="54" xfId="0" applyNumberFormat="1" applyBorder="1" applyAlignment="1">
      <alignment horizontal="center" vertical="center"/>
    </xf>
    <xf numFmtId="3" fontId="7" fillId="0" borderId="54" xfId="0" applyNumberFormat="1" applyFont="1" applyBorder="1" applyAlignment="1">
      <alignment horizontal="center" vertical="center"/>
    </xf>
    <xf numFmtId="9" fontId="58" fillId="0" borderId="54" xfId="76" applyNumberFormat="1" applyFont="1" applyBorder="1" applyAlignment="1">
      <alignment horizontal="center"/>
    </xf>
    <xf numFmtId="9" fontId="58" fillId="0" borderId="54" xfId="76" applyNumberFormat="1" applyFont="1" applyBorder="1" applyAlignment="1">
      <alignment/>
    </xf>
    <xf numFmtId="175" fontId="86" fillId="0" borderId="0" xfId="63" applyNumberFormat="1">
      <alignment/>
      <protection/>
    </xf>
    <xf numFmtId="10" fontId="52" fillId="37" borderId="0" xfId="76" applyNumberFormat="1" applyFont="1" applyFill="1" applyAlignment="1">
      <alignment horizontal="center"/>
    </xf>
    <xf numFmtId="3" fontId="107" fillId="0" borderId="54" xfId="65" applyNumberFormat="1" applyFont="1" applyBorder="1">
      <alignment/>
      <protection/>
    </xf>
    <xf numFmtId="0" fontId="88" fillId="36" borderId="54" xfId="63" applyFont="1" applyFill="1" applyBorder="1" applyAlignment="1">
      <alignment horizontal="center"/>
      <protection/>
    </xf>
    <xf numFmtId="10" fontId="86" fillId="0" borderId="0" xfId="76" applyNumberFormat="1" applyFont="1" applyAlignment="1">
      <alignment/>
    </xf>
    <xf numFmtId="175" fontId="88" fillId="0" borderId="54" xfId="76" applyNumberFormat="1" applyFont="1" applyBorder="1" applyAlignment="1">
      <alignment/>
    </xf>
    <xf numFmtId="2" fontId="86" fillId="0" borderId="54" xfId="63" applyNumberFormat="1" applyFont="1" applyBorder="1">
      <alignment/>
      <protection/>
    </xf>
    <xf numFmtId="3" fontId="86" fillId="0" borderId="54" xfId="63" applyNumberFormat="1" applyFont="1" applyBorder="1">
      <alignment/>
      <protection/>
    </xf>
    <xf numFmtId="175" fontId="86" fillId="0" borderId="54" xfId="76" applyNumberFormat="1" applyFont="1" applyBorder="1" applyAlignment="1">
      <alignment/>
    </xf>
    <xf numFmtId="175" fontId="86" fillId="0" borderId="54" xfId="73" applyNumberFormat="1" applyFont="1" applyBorder="1" applyAlignment="1">
      <alignment/>
    </xf>
    <xf numFmtId="0" fontId="88" fillId="0" borderId="0" xfId="63" applyFont="1">
      <alignment/>
      <protection/>
    </xf>
    <xf numFmtId="0" fontId="86" fillId="0" borderId="0" xfId="63" applyAlignment="1">
      <alignment horizontal="center"/>
      <protection/>
    </xf>
    <xf numFmtId="4" fontId="88" fillId="0" borderId="0" xfId="63" applyNumberFormat="1" applyFont="1">
      <alignment/>
      <protection/>
    </xf>
    <xf numFmtId="3" fontId="86" fillId="0" borderId="0" xfId="63" applyNumberFormat="1">
      <alignment/>
      <protection/>
    </xf>
    <xf numFmtId="0" fontId="22" fillId="0" borderId="0" xfId="64" applyFont="1" applyFill="1" applyBorder="1">
      <alignment/>
      <protection/>
    </xf>
    <xf numFmtId="3" fontId="0" fillId="0" borderId="54" xfId="64" applyNumberFormat="1" applyBorder="1" applyAlignment="1">
      <alignment horizontal="right"/>
      <protection/>
    </xf>
    <xf numFmtId="0" fontId="0" fillId="0" borderId="54" xfId="64" applyBorder="1">
      <alignment/>
      <protection/>
    </xf>
    <xf numFmtId="0" fontId="7" fillId="0" borderId="54" xfId="64" applyFont="1" applyBorder="1" applyAlignment="1">
      <alignment horizontal="center"/>
      <protection/>
    </xf>
    <xf numFmtId="4" fontId="7" fillId="0" borderId="54" xfId="64" applyNumberFormat="1" applyFont="1" applyBorder="1" applyAlignment="1">
      <alignment horizontal="center"/>
      <protection/>
    </xf>
    <xf numFmtId="0" fontId="7" fillId="0" borderId="54" xfId="64" applyFont="1" applyBorder="1">
      <alignment/>
      <protection/>
    </xf>
    <xf numFmtId="4" fontId="0" fillId="0" borderId="54" xfId="64" applyNumberFormat="1" applyBorder="1" applyAlignment="1">
      <alignment horizontal="center"/>
      <protection/>
    </xf>
    <xf numFmtId="9" fontId="58" fillId="0" borderId="54" xfId="75" applyFont="1" applyBorder="1" applyAlignment="1">
      <alignment horizontal="center"/>
    </xf>
    <xf numFmtId="9" fontId="58" fillId="0" borderId="54" xfId="75" applyFont="1" applyBorder="1" applyAlignment="1">
      <alignment/>
    </xf>
    <xf numFmtId="0" fontId="108" fillId="0" borderId="0" xfId="63" applyFont="1">
      <alignment/>
      <protection/>
    </xf>
    <xf numFmtId="1" fontId="86" fillId="0" borderId="0" xfId="63" applyNumberFormat="1">
      <alignment/>
      <protection/>
    </xf>
    <xf numFmtId="3" fontId="41" fillId="37" borderId="11" xfId="65" applyNumberFormat="1" applyFont="1" applyFill="1" applyBorder="1" applyAlignment="1">
      <alignment horizontal="center"/>
      <protection/>
    </xf>
    <xf numFmtId="49" fontId="40" fillId="0" borderId="47" xfId="62" applyNumberFormat="1" applyFont="1" applyFill="1" applyBorder="1" applyAlignment="1">
      <alignment vertical="center" wrapText="1"/>
      <protection/>
    </xf>
    <xf numFmtId="0" fontId="40" fillId="0" borderId="47" xfId="62" applyFont="1" applyFill="1" applyBorder="1" applyAlignment="1">
      <alignment horizontal="center" vertical="center" wrapText="1"/>
      <protection/>
    </xf>
    <xf numFmtId="49" fontId="41" fillId="0" borderId="47" xfId="62" applyNumberFormat="1" applyFont="1" applyFill="1" applyBorder="1" applyAlignment="1">
      <alignment vertical="center" wrapText="1"/>
      <protection/>
    </xf>
    <xf numFmtId="3" fontId="41" fillId="0" borderId="54" xfId="65" applyNumberFormat="1" applyFont="1" applyFill="1" applyBorder="1">
      <alignment/>
      <protection/>
    </xf>
    <xf numFmtId="3" fontId="107" fillId="37" borderId="54" xfId="65" applyNumberFormat="1" applyFont="1" applyFill="1" applyBorder="1">
      <alignment/>
      <protection/>
    </xf>
    <xf numFmtId="3" fontId="40" fillId="37" borderId="54" xfId="65" applyNumberFormat="1" applyFont="1" applyFill="1" applyBorder="1">
      <alignment/>
      <protection/>
    </xf>
    <xf numFmtId="0" fontId="7" fillId="37" borderId="54" xfId="0" applyFont="1" applyFill="1" applyBorder="1" applyAlignment="1">
      <alignment horizontal="center"/>
    </xf>
    <xf numFmtId="3" fontId="41" fillId="37" borderId="54" xfId="65" applyNumberFormat="1" applyFont="1" applyFill="1" applyBorder="1">
      <alignment/>
      <protection/>
    </xf>
    <xf numFmtId="3" fontId="41" fillId="0" borderId="24" xfId="62" applyNumberFormat="1" applyFont="1" applyFill="1" applyBorder="1" applyAlignment="1">
      <alignment horizontal="right" vertical="center" wrapText="1" indent="1"/>
      <protection/>
    </xf>
    <xf numFmtId="3" fontId="41" fillId="0" borderId="54" xfId="62" applyNumberFormat="1" applyFont="1" applyFill="1" applyBorder="1" applyAlignment="1">
      <alignment horizontal="center" vertical="center" wrapText="1"/>
      <protection/>
    </xf>
    <xf numFmtId="49" fontId="41" fillId="0" borderId="67" xfId="62" applyNumberFormat="1" applyFont="1" applyFill="1" applyBorder="1" applyAlignment="1">
      <alignment horizontal="left" vertical="center" wrapText="1"/>
      <protection/>
    </xf>
    <xf numFmtId="49" fontId="40" fillId="0" borderId="58" xfId="62" applyNumberFormat="1" applyFont="1" applyFill="1" applyBorder="1" applyAlignment="1">
      <alignment horizontal="left" vertical="center" wrapText="1"/>
      <protection/>
    </xf>
    <xf numFmtId="49" fontId="41" fillId="0" borderId="58" xfId="62" applyNumberFormat="1" applyFont="1" applyFill="1" applyBorder="1" applyAlignment="1">
      <alignment horizontal="left" vertical="center" wrapText="1"/>
      <protection/>
    </xf>
    <xf numFmtId="49" fontId="41" fillId="0" borderId="68" xfId="62" applyNumberFormat="1" applyFont="1" applyFill="1" applyBorder="1" applyAlignment="1">
      <alignment horizontal="left" vertical="center" wrapText="1"/>
      <protection/>
    </xf>
    <xf numFmtId="0" fontId="40" fillId="0" borderId="0" xfId="62" applyFont="1" applyFill="1" applyBorder="1" applyAlignment="1">
      <alignment horizontal="center" vertical="center" wrapText="1"/>
      <protection/>
    </xf>
    <xf numFmtId="3" fontId="41" fillId="0" borderId="0" xfId="62" applyNumberFormat="1" applyFont="1" applyFill="1" applyBorder="1" applyAlignment="1">
      <alignment horizontal="right" vertical="center" wrapText="1" indent="1"/>
      <protection/>
    </xf>
    <xf numFmtId="49" fontId="40" fillId="0" borderId="54" xfId="62" applyNumberFormat="1" applyFont="1" applyFill="1" applyBorder="1" applyAlignment="1">
      <alignment horizontal="left" vertical="center" wrapText="1"/>
      <protection/>
    </xf>
    <xf numFmtId="49" fontId="41" fillId="0" borderId="0" xfId="62" applyNumberFormat="1" applyFont="1" applyFill="1" applyBorder="1" applyAlignment="1">
      <alignment vertical="center"/>
      <protection/>
    </xf>
    <xf numFmtId="49" fontId="41" fillId="0" borderId="54" xfId="62" applyNumberFormat="1" applyFont="1" applyFill="1" applyBorder="1" applyAlignment="1">
      <alignment horizontal="center" vertical="center"/>
      <protection/>
    </xf>
    <xf numFmtId="49" fontId="40" fillId="0" borderId="67" xfId="62" applyNumberFormat="1" applyFont="1" applyFill="1" applyBorder="1" applyAlignment="1">
      <alignment horizontal="left" vertical="center" wrapText="1"/>
      <protection/>
    </xf>
    <xf numFmtId="0" fontId="55" fillId="0" borderId="47" xfId="62" applyFont="1" applyFill="1" applyBorder="1" applyAlignment="1">
      <alignment horizontal="center" vertical="center" wrapText="1"/>
      <protection/>
    </xf>
    <xf numFmtId="171" fontId="40" fillId="0" borderId="54" xfId="62" applyNumberFormat="1" applyFont="1" applyFill="1" applyBorder="1" applyAlignment="1">
      <alignment horizontal="right" vertical="center" wrapText="1" indent="1"/>
      <protection/>
    </xf>
    <xf numFmtId="171" fontId="41" fillId="0" borderId="47" xfId="62" applyNumberFormat="1" applyFont="1" applyFill="1" applyBorder="1" applyAlignment="1">
      <alignment horizontal="right" vertical="center" wrapText="1" indent="1"/>
      <protection/>
    </xf>
    <xf numFmtId="171" fontId="41" fillId="0" borderId="54" xfId="62" applyNumberFormat="1" applyFont="1" applyFill="1" applyBorder="1" applyAlignment="1">
      <alignment horizontal="right" vertical="center" wrapText="1" indent="1"/>
      <protection/>
    </xf>
    <xf numFmtId="171" fontId="40" fillId="0" borderId="54" xfId="72" applyNumberFormat="1" applyFont="1" applyFill="1" applyBorder="1" applyAlignment="1">
      <alignment horizontal="right" vertical="center" wrapText="1" indent="1"/>
    </xf>
    <xf numFmtId="0" fontId="40" fillId="0" borderId="0" xfId="62" applyFill="1" applyBorder="1">
      <alignment/>
      <protection/>
    </xf>
    <xf numFmtId="0" fontId="41" fillId="0" borderId="24" xfId="62" applyFont="1" applyFill="1" applyBorder="1" applyAlignment="1">
      <alignment horizontal="center" vertical="center" wrapText="1"/>
      <protection/>
    </xf>
    <xf numFmtId="49" fontId="40" fillId="0" borderId="0" xfId="62" applyNumberFormat="1" applyFill="1" applyBorder="1" applyAlignment="1">
      <alignment horizontal="center"/>
      <protection/>
    </xf>
    <xf numFmtId="49" fontId="40" fillId="0" borderId="0" xfId="62" applyNumberFormat="1" applyFill="1" applyBorder="1" applyAlignment="1">
      <alignment wrapText="1"/>
      <protection/>
    </xf>
    <xf numFmtId="0" fontId="40" fillId="0" borderId="0" xfId="62" applyFill="1" applyBorder="1" applyAlignment="1">
      <alignment horizontal="center"/>
      <protection/>
    </xf>
    <xf numFmtId="3" fontId="40" fillId="0" borderId="0" xfId="62" applyNumberFormat="1" applyFill="1" applyBorder="1" applyAlignment="1">
      <alignment horizontal="right" vertical="center" indent="1"/>
      <protection/>
    </xf>
    <xf numFmtId="49" fontId="51" fillId="0" borderId="0" xfId="62" applyNumberFormat="1" applyFont="1" applyFill="1" applyBorder="1" applyAlignment="1">
      <alignment horizontal="center" vertical="center"/>
      <protection/>
    </xf>
    <xf numFmtId="49" fontId="51" fillId="0" borderId="0" xfId="62" applyNumberFormat="1" applyFont="1" applyFill="1" applyBorder="1" applyAlignment="1">
      <alignment horizontal="left" vertical="center"/>
      <protection/>
    </xf>
    <xf numFmtId="49" fontId="48" fillId="0" borderId="54" xfId="62" applyNumberFormat="1" applyFont="1" applyFill="1" applyBorder="1" applyAlignment="1">
      <alignment horizontal="left" vertical="center"/>
      <protection/>
    </xf>
    <xf numFmtId="0" fontId="7" fillId="0" borderId="54" xfId="0" applyFont="1" applyFill="1" applyBorder="1" applyAlignment="1">
      <alignment horizontal="center"/>
    </xf>
    <xf numFmtId="0" fontId="41" fillId="0" borderId="0" xfId="62" applyFont="1" applyFill="1" applyBorder="1" applyAlignment="1">
      <alignment vertical="center"/>
      <protection/>
    </xf>
    <xf numFmtId="171" fontId="41" fillId="0" borderId="47" xfId="62" applyNumberFormat="1" applyFont="1" applyFill="1" applyBorder="1" applyAlignment="1">
      <alignment horizontal="center" vertical="center" wrapText="1"/>
      <protection/>
    </xf>
    <xf numFmtId="171" fontId="40" fillId="0" borderId="54" xfId="62" applyNumberFormat="1" applyFont="1" applyFill="1" applyBorder="1" applyAlignment="1">
      <alignment horizontal="center" vertical="center" wrapText="1"/>
      <protection/>
    </xf>
    <xf numFmtId="171" fontId="41" fillId="0" borderId="54" xfId="62" applyNumberFormat="1" applyFont="1" applyFill="1" applyBorder="1" applyAlignment="1">
      <alignment horizontal="center" vertical="center" wrapText="1"/>
      <protection/>
    </xf>
    <xf numFmtId="171" fontId="40" fillId="0" borderId="54" xfId="37" applyNumberFormat="1" applyFont="1" applyFill="1" applyBorder="1" applyAlignment="1">
      <alignment horizontal="center" vertical="center" wrapText="1"/>
    </xf>
    <xf numFmtId="0" fontId="40" fillId="0" borderId="0" xfId="62" applyFont="1" applyFill="1" applyBorder="1">
      <alignment/>
      <protection/>
    </xf>
    <xf numFmtId="2" fontId="41" fillId="0" borderId="54" xfId="62" applyNumberFormat="1" applyFont="1" applyFill="1" applyBorder="1" applyAlignment="1">
      <alignment horizontal="center" vertical="center" wrapText="1"/>
      <protection/>
    </xf>
    <xf numFmtId="2" fontId="41" fillId="0" borderId="54" xfId="62" applyNumberFormat="1" applyFont="1" applyFill="1" applyBorder="1" applyAlignment="1">
      <alignment horizontal="right" vertical="center" wrapText="1" indent="1"/>
      <protection/>
    </xf>
    <xf numFmtId="3" fontId="41" fillId="0" borderId="54" xfId="62" applyNumberFormat="1" applyFont="1" applyFill="1" applyBorder="1" applyAlignment="1">
      <alignment horizontal="right" vertical="center" wrapText="1" indent="1"/>
      <protection/>
    </xf>
    <xf numFmtId="174" fontId="41" fillId="0" borderId="54" xfId="62" applyNumberFormat="1" applyFont="1" applyFill="1" applyBorder="1" applyAlignment="1">
      <alignment horizontal="right" vertical="center" wrapText="1" indent="1"/>
      <protection/>
    </xf>
    <xf numFmtId="169" fontId="41" fillId="0" borderId="54" xfId="62" applyNumberFormat="1" applyFont="1" applyFill="1" applyBorder="1" applyAlignment="1">
      <alignment horizontal="right" vertical="center" wrapText="1" indent="1"/>
      <protection/>
    </xf>
    <xf numFmtId="4" fontId="41" fillId="0" borderId="47" xfId="62" applyNumberFormat="1" applyFont="1" applyFill="1" applyBorder="1" applyAlignment="1">
      <alignment horizontal="right" vertical="center" wrapText="1" indent="1"/>
      <protection/>
    </xf>
    <xf numFmtId="171" fontId="40" fillId="0" borderId="47" xfId="62" applyNumberFormat="1" applyFont="1" applyFill="1" applyBorder="1" applyAlignment="1">
      <alignment horizontal="right" vertical="center" wrapText="1" indent="1"/>
      <protection/>
    </xf>
    <xf numFmtId="49" fontId="40" fillId="0" borderId="0" xfId="62" applyNumberFormat="1" applyFont="1" applyFill="1" applyBorder="1" applyAlignment="1">
      <alignment wrapText="1"/>
      <protection/>
    </xf>
    <xf numFmtId="4" fontId="40" fillId="0" borderId="0" xfId="62" applyNumberFormat="1" applyFill="1" applyBorder="1" applyAlignment="1">
      <alignment horizontal="right" vertical="center" indent="1"/>
      <protection/>
    </xf>
    <xf numFmtId="170" fontId="104" fillId="0" borderId="0" xfId="62" applyNumberFormat="1" applyFont="1" applyFill="1" applyBorder="1" applyAlignment="1">
      <alignment horizontal="right" vertical="center" indent="1"/>
      <protection/>
    </xf>
    <xf numFmtId="3" fontId="41" fillId="0" borderId="11" xfId="65" applyNumberFormat="1" applyFont="1" applyBorder="1" applyAlignment="1">
      <alignment horizontal="center"/>
      <protection/>
    </xf>
    <xf numFmtId="3" fontId="41" fillId="0" borderId="69" xfId="65" applyNumberFormat="1" applyFont="1" applyBorder="1" applyAlignment="1">
      <alignment horizontal="center"/>
      <protection/>
    </xf>
    <xf numFmtId="0" fontId="41" fillId="36" borderId="11" xfId="0" applyFont="1" applyFill="1" applyBorder="1" applyAlignment="1">
      <alignment horizontal="center"/>
    </xf>
    <xf numFmtId="0" fontId="41" fillId="36" borderId="69" xfId="0" applyFont="1" applyFill="1" applyBorder="1" applyAlignment="1">
      <alignment horizontal="center"/>
    </xf>
    <xf numFmtId="0" fontId="41" fillId="36" borderId="11" xfId="0" applyFont="1" applyFill="1" applyBorder="1" applyAlignment="1">
      <alignment/>
    </xf>
    <xf numFmtId="0" fontId="41" fillId="36" borderId="69" xfId="0" applyFont="1" applyFill="1" applyBorder="1" applyAlignment="1">
      <alignment/>
    </xf>
    <xf numFmtId="0" fontId="0" fillId="34" borderId="0" xfId="0" applyFill="1" applyAlignment="1" applyProtection="1" quotePrefix="1">
      <alignment horizontal="center"/>
      <protection hidden="1"/>
    </xf>
    <xf numFmtId="0" fontId="18" fillId="34" borderId="0" xfId="0" applyFont="1" applyFill="1" applyAlignment="1" applyProtection="1" quotePrefix="1">
      <alignment horizontal="center"/>
      <protection hidden="1"/>
    </xf>
    <xf numFmtId="0" fontId="29" fillId="33" borderId="0" xfId="0" applyFont="1" applyFill="1" applyAlignment="1" applyProtection="1">
      <alignment horizontal="center"/>
      <protection locked="0"/>
    </xf>
    <xf numFmtId="0" fontId="22" fillId="33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33" fillId="0" borderId="0" xfId="43" applyFont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0" fillId="0" borderId="19" xfId="0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 quotePrefix="1">
      <alignment horizontal="left"/>
      <protection hidden="1"/>
    </xf>
    <xf numFmtId="0" fontId="0" fillId="0" borderId="19" xfId="0" applyFont="1" applyFill="1" applyBorder="1" applyAlignment="1" applyProtection="1" quotePrefix="1">
      <alignment horizontal="left"/>
      <protection hidden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69" xfId="0" applyFont="1" applyFill="1" applyBorder="1" applyAlignment="1">
      <alignment horizontal="center" vertical="center" wrapText="1"/>
    </xf>
    <xf numFmtId="0" fontId="0" fillId="0" borderId="65" xfId="0" applyBorder="1" applyAlignment="1">
      <alignment/>
    </xf>
    <xf numFmtId="0" fontId="0" fillId="0" borderId="14" xfId="0" applyBorder="1" applyAlignment="1">
      <alignment/>
    </xf>
    <xf numFmtId="0" fontId="7" fillId="0" borderId="6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0" fillId="0" borderId="65" xfId="64" applyBorder="1">
      <alignment/>
      <protection/>
    </xf>
    <xf numFmtId="0" fontId="0" fillId="0" borderId="14" xfId="64" applyBorder="1">
      <alignment/>
      <protection/>
    </xf>
    <xf numFmtId="0" fontId="7" fillId="0" borderId="66" xfId="64" applyFont="1" applyBorder="1" applyAlignment="1">
      <alignment horizontal="center" vertical="center"/>
      <protection/>
    </xf>
    <xf numFmtId="0" fontId="7" fillId="0" borderId="47" xfId="64" applyFont="1" applyBorder="1" applyAlignment="1">
      <alignment horizontal="center" vertical="center"/>
      <protection/>
    </xf>
    <xf numFmtId="0" fontId="7" fillId="0" borderId="54" xfId="64" applyFont="1" applyBorder="1" applyAlignment="1">
      <alignment horizontal="center"/>
      <protection/>
    </xf>
    <xf numFmtId="0" fontId="22" fillId="0" borderId="11" xfId="64" applyFont="1" applyBorder="1" applyAlignment="1">
      <alignment horizontal="center" vertical="center"/>
      <protection/>
    </xf>
    <xf numFmtId="0" fontId="22" fillId="0" borderId="65" xfId="64" applyFont="1" applyBorder="1" applyAlignment="1">
      <alignment horizontal="center" vertical="center"/>
      <protection/>
    </xf>
    <xf numFmtId="0" fontId="22" fillId="0" borderId="69" xfId="64" applyFont="1" applyBorder="1" applyAlignment="1">
      <alignment horizontal="center" vertical="center"/>
      <protection/>
    </xf>
    <xf numFmtId="49" fontId="41" fillId="0" borderId="54" xfId="62" applyNumberFormat="1" applyFont="1" applyFill="1" applyBorder="1" applyAlignment="1">
      <alignment horizontal="left" vertical="center" wrapText="1"/>
      <protection/>
    </xf>
    <xf numFmtId="49" fontId="48" fillId="0" borderId="54" xfId="62" applyNumberFormat="1" applyFont="1" applyFill="1" applyBorder="1" applyAlignment="1">
      <alignment horizontal="center" vertical="center"/>
      <protection/>
    </xf>
    <xf numFmtId="49" fontId="60" fillId="0" borderId="54" xfId="62" applyNumberFormat="1" applyFont="1" applyFill="1" applyBorder="1" applyAlignment="1">
      <alignment horizontal="center" vertical="center"/>
      <protection/>
    </xf>
    <xf numFmtId="49" fontId="48" fillId="0" borderId="13" xfId="62" applyNumberFormat="1" applyFont="1" applyFill="1" applyBorder="1" applyAlignment="1">
      <alignment horizontal="center" vertical="center" wrapText="1"/>
      <protection/>
    </xf>
    <xf numFmtId="49" fontId="48" fillId="0" borderId="14" xfId="62" applyNumberFormat="1" applyFont="1" applyFill="1" applyBorder="1" applyAlignment="1">
      <alignment horizontal="center" vertical="center" wrapText="1"/>
      <protection/>
    </xf>
    <xf numFmtId="49" fontId="48" fillId="0" borderId="70" xfId="62" applyNumberFormat="1" applyFont="1" applyFill="1" applyBorder="1" applyAlignment="1">
      <alignment horizontal="center" vertical="center" wrapText="1"/>
      <protection/>
    </xf>
    <xf numFmtId="49" fontId="48" fillId="0" borderId="45" xfId="62" applyNumberFormat="1" applyFont="1" applyFill="1" applyBorder="1" applyAlignment="1">
      <alignment horizontal="center" vertical="center" wrapText="1"/>
      <protection/>
    </xf>
    <xf numFmtId="49" fontId="48" fillId="0" borderId="19" xfId="62" applyNumberFormat="1" applyFont="1" applyFill="1" applyBorder="1" applyAlignment="1">
      <alignment horizontal="center" vertical="center" wrapText="1"/>
      <protection/>
    </xf>
    <xf numFmtId="49" fontId="48" fillId="0" borderId="71" xfId="62" applyNumberFormat="1" applyFont="1" applyFill="1" applyBorder="1" applyAlignment="1">
      <alignment horizontal="center" vertical="center" wrapText="1"/>
      <protection/>
    </xf>
    <xf numFmtId="49" fontId="41" fillId="0" borderId="54" xfId="62" applyNumberFormat="1" applyFont="1" applyFill="1" applyBorder="1" applyAlignment="1">
      <alignment horizontal="center" vertical="center"/>
      <protection/>
    </xf>
    <xf numFmtId="49" fontId="41" fillId="0" borderId="54" xfId="62" applyNumberFormat="1" applyFont="1" applyFill="1" applyBorder="1" applyAlignment="1">
      <alignment horizontal="center" vertical="center" wrapText="1"/>
      <protection/>
    </xf>
    <xf numFmtId="0" fontId="41" fillId="0" borderId="66" xfId="62" applyFont="1" applyFill="1" applyBorder="1" applyAlignment="1">
      <alignment horizontal="center" vertical="center" wrapText="1"/>
      <protection/>
    </xf>
    <xf numFmtId="0" fontId="41" fillId="0" borderId="47" xfId="62" applyFont="1" applyFill="1" applyBorder="1" applyAlignment="1">
      <alignment horizontal="center" vertical="center" wrapText="1"/>
      <protection/>
    </xf>
    <xf numFmtId="49" fontId="51" fillId="0" borderId="0" xfId="62" applyNumberFormat="1" applyFont="1" applyFill="1" applyBorder="1" applyAlignment="1">
      <alignment horizontal="center" vertical="center"/>
      <protection/>
    </xf>
    <xf numFmtId="49" fontId="41" fillId="0" borderId="66" xfId="62" applyNumberFormat="1" applyFont="1" applyFill="1" applyBorder="1" applyAlignment="1">
      <alignment horizontal="center" vertical="center"/>
      <protection/>
    </xf>
    <xf numFmtId="0" fontId="41" fillId="0" borderId="24" xfId="62" applyFont="1" applyFill="1" applyBorder="1" applyAlignment="1">
      <alignment horizontal="center" vertical="center" wrapText="1"/>
      <protection/>
    </xf>
    <xf numFmtId="49" fontId="51" fillId="0" borderId="0" xfId="62" applyNumberFormat="1" applyFont="1" applyFill="1" applyBorder="1" applyAlignment="1">
      <alignment horizontal="left" vertical="center"/>
      <protection/>
    </xf>
    <xf numFmtId="49" fontId="59" fillId="0" borderId="54" xfId="62" applyNumberFormat="1" applyFont="1" applyFill="1" applyBorder="1" applyAlignment="1">
      <alignment horizontal="center" vertical="center" wrapText="1"/>
      <protection/>
    </xf>
    <xf numFmtId="49" fontId="41" fillId="0" borderId="66" xfId="62" applyNumberFormat="1" applyFont="1" applyFill="1" applyBorder="1" applyAlignment="1">
      <alignment horizontal="center" vertical="center" wrapText="1"/>
      <protection/>
    </xf>
    <xf numFmtId="49" fontId="41" fillId="0" borderId="47" xfId="62" applyNumberFormat="1" applyFont="1" applyFill="1" applyBorder="1" applyAlignment="1">
      <alignment horizontal="center" vertical="center" wrapText="1"/>
      <protection/>
    </xf>
    <xf numFmtId="49" fontId="51" fillId="0" borderId="0" xfId="62" applyNumberFormat="1" applyFont="1" applyBorder="1" applyAlignment="1">
      <alignment horizontal="center" vertical="center"/>
      <protection/>
    </xf>
    <xf numFmtId="0" fontId="55" fillId="0" borderId="61" xfId="62" applyFont="1" applyBorder="1" applyAlignment="1">
      <alignment horizontal="center" vertical="center"/>
      <protection/>
    </xf>
    <xf numFmtId="0" fontId="55" fillId="0" borderId="62" xfId="62" applyFont="1" applyBorder="1" applyAlignment="1">
      <alignment horizontal="center" vertical="center"/>
      <protection/>
    </xf>
    <xf numFmtId="0" fontId="55" fillId="0" borderId="54" xfId="62" applyFont="1" applyBorder="1" applyAlignment="1">
      <alignment horizontal="center" vertical="center"/>
      <protection/>
    </xf>
    <xf numFmtId="0" fontId="55" fillId="0" borderId="72" xfId="62" applyFont="1" applyBorder="1" applyAlignment="1">
      <alignment horizontal="center" vertical="center"/>
      <protection/>
    </xf>
    <xf numFmtId="0" fontId="40" fillId="0" borderId="73" xfId="62" applyFont="1" applyBorder="1" applyAlignment="1">
      <alignment horizontal="center" vertical="center"/>
      <protection/>
    </xf>
    <xf numFmtId="0" fontId="40" fillId="0" borderId="74" xfId="62" applyFont="1" applyBorder="1" applyAlignment="1">
      <alignment horizontal="center" vertical="center"/>
      <protection/>
    </xf>
    <xf numFmtId="0" fontId="40" fillId="0" borderId="75" xfId="62" applyFont="1" applyBorder="1" applyAlignment="1">
      <alignment horizontal="center" vertical="center"/>
      <protection/>
    </xf>
    <xf numFmtId="0" fontId="40" fillId="0" borderId="76" xfId="62" applyFont="1" applyBorder="1" applyAlignment="1">
      <alignment horizontal="center" vertical="center" wrapText="1"/>
      <protection/>
    </xf>
    <xf numFmtId="0" fontId="40" fillId="0" borderId="24" xfId="62" applyFont="1" applyBorder="1" applyAlignment="1">
      <alignment horizontal="center" vertical="center" wrapText="1"/>
      <protection/>
    </xf>
    <xf numFmtId="0" fontId="40" fillId="0" borderId="63" xfId="62" applyFont="1" applyBorder="1" applyAlignment="1">
      <alignment horizontal="center" vertical="center" wrapText="1"/>
      <protection/>
    </xf>
    <xf numFmtId="0" fontId="40" fillId="0" borderId="77" xfId="62" applyFont="1" applyBorder="1" applyAlignment="1">
      <alignment horizontal="center" vertical="center" wrapText="1"/>
      <protection/>
    </xf>
    <xf numFmtId="0" fontId="40" fillId="0" borderId="78" xfId="62" applyFont="1" applyBorder="1" applyAlignment="1">
      <alignment horizontal="center" vertical="center" wrapText="1"/>
      <protection/>
    </xf>
    <xf numFmtId="0" fontId="40" fillId="0" borderId="26" xfId="62" applyFont="1" applyBorder="1" applyAlignment="1">
      <alignment horizontal="center" vertical="center" wrapText="1"/>
      <protection/>
    </xf>
    <xf numFmtId="0" fontId="40" fillId="0" borderId="44" xfId="62" applyFont="1" applyBorder="1" applyAlignment="1">
      <alignment horizontal="center" vertical="center" wrapText="1"/>
      <protection/>
    </xf>
    <xf numFmtId="0" fontId="40" fillId="0" borderId="79" xfId="62" applyFont="1" applyBorder="1" applyAlignment="1">
      <alignment horizontal="center" vertical="center" wrapText="1"/>
      <protection/>
    </xf>
    <xf numFmtId="0" fontId="40" fillId="0" borderId="80" xfId="62" applyFont="1" applyBorder="1" applyAlignment="1">
      <alignment horizontal="center" vertical="center" wrapText="1"/>
      <protection/>
    </xf>
    <xf numFmtId="0" fontId="30" fillId="0" borderId="0" xfId="0" applyFont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center" vertical="center" textRotation="90"/>
      <protection hidden="1"/>
    </xf>
    <xf numFmtId="0" fontId="0" fillId="0" borderId="18" xfId="0" applyFont="1" applyFill="1" applyBorder="1" applyAlignment="1" applyProtection="1">
      <alignment horizontal="center" vertical="center" textRotation="90"/>
      <protection hidden="1"/>
    </xf>
    <xf numFmtId="0" fontId="15" fillId="0" borderId="0" xfId="0" applyFont="1" applyAlignment="1" applyProtection="1" quotePrefix="1">
      <alignment horizontal="right"/>
      <protection hidden="1"/>
    </xf>
    <xf numFmtId="0" fontId="15" fillId="0" borderId="81" xfId="0" applyFont="1" applyBorder="1" applyAlignment="1" applyProtection="1" quotePrefix="1">
      <alignment horizontal="right"/>
      <protection hidden="1"/>
    </xf>
    <xf numFmtId="176" fontId="15" fillId="0" borderId="19" xfId="0" applyNumberFormat="1" applyFont="1" applyBorder="1" applyAlignment="1" applyProtection="1">
      <alignment horizontal="right"/>
      <protection hidden="1"/>
    </xf>
    <xf numFmtId="176" fontId="1" fillId="0" borderId="19" xfId="0" applyNumberFormat="1" applyFont="1" applyBorder="1" applyAlignment="1" applyProtection="1">
      <alignment horizontal="right"/>
      <protection hidden="1"/>
    </xf>
    <xf numFmtId="0" fontId="0" fillId="0" borderId="0" xfId="0" applyFont="1" applyAlignment="1" applyProtection="1" quotePrefix="1">
      <alignment horizontal="left"/>
      <protection hidden="1"/>
    </xf>
    <xf numFmtId="0" fontId="21" fillId="0" borderId="0" xfId="0" applyFont="1" applyAlignment="1" applyProtection="1" quotePrefix="1">
      <alignment horizontal="right"/>
      <protection hidden="1"/>
    </xf>
    <xf numFmtId="0" fontId="3" fillId="0" borderId="0" xfId="0" applyFont="1" applyBorder="1" applyAlignment="1" applyProtection="1" quotePrefix="1">
      <alignment horizontal="left"/>
      <protection hidden="1"/>
    </xf>
    <xf numFmtId="0" fontId="36" fillId="0" borderId="82" xfId="0" applyFont="1" applyBorder="1" applyAlignment="1" applyProtection="1">
      <alignment horizontal="center"/>
      <protection hidden="1"/>
    </xf>
    <xf numFmtId="0" fontId="36" fillId="0" borderId="83" xfId="0" applyFont="1" applyBorder="1" applyAlignment="1" applyProtection="1">
      <alignment horizontal="center"/>
      <protection hidden="1"/>
    </xf>
    <xf numFmtId="0" fontId="1" fillId="0" borderId="84" xfId="0" applyFont="1" applyFill="1" applyBorder="1" applyAlignment="1" applyProtection="1" quotePrefix="1">
      <alignment horizontal="center"/>
      <protection hidden="1"/>
    </xf>
    <xf numFmtId="0" fontId="1" fillId="0" borderId="85" xfId="0" applyFont="1" applyFill="1" applyBorder="1" applyAlignment="1" applyProtection="1" quotePrefix="1">
      <alignment horizontal="center"/>
      <protection hidden="1"/>
    </xf>
    <xf numFmtId="0" fontId="39" fillId="0" borderId="0" xfId="43" applyFont="1" applyAlignment="1" applyProtection="1">
      <alignment horizontal="center"/>
      <protection hidden="1"/>
    </xf>
    <xf numFmtId="0" fontId="1" fillId="0" borderId="85" xfId="0" applyFont="1" applyFill="1" applyBorder="1" applyAlignment="1" applyProtection="1">
      <alignment horizontal="center"/>
      <protection hidden="1"/>
    </xf>
    <xf numFmtId="0" fontId="1" fillId="0" borderId="86" xfId="0" applyFont="1" applyFill="1" applyBorder="1" applyAlignment="1" applyProtection="1">
      <alignment horizontal="center"/>
      <protection hidden="1"/>
    </xf>
    <xf numFmtId="0" fontId="1" fillId="0" borderId="87" xfId="0" applyFont="1" applyFill="1" applyBorder="1" applyAlignment="1" applyProtection="1" quotePrefix="1">
      <alignment horizontal="center"/>
      <protection hidden="1"/>
    </xf>
    <xf numFmtId="0" fontId="1" fillId="0" borderId="88" xfId="0" applyFont="1" applyFill="1" applyBorder="1" applyAlignment="1" applyProtection="1">
      <alignment horizontal="center"/>
      <protection hidden="1"/>
    </xf>
  </cellXfs>
  <cellStyles count="78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urrency [2]" xfId="35"/>
    <cellStyle name="Currency_Fin Spon" xfId="36"/>
    <cellStyle name="Comma" xfId="37"/>
    <cellStyle name="Comma [0]" xfId="38"/>
    <cellStyle name="červená" xfId="39"/>
    <cellStyle name="DATUM" xfId="40"/>
    <cellStyle name="Finanční" xfId="41"/>
    <cellStyle name="Finanční0" xfId="42"/>
    <cellStyle name="Hyperlink" xfId="43"/>
    <cellStyle name="Chybně" xfId="44"/>
    <cellStyle name="Kontrolní buňka" xfId="45"/>
    <cellStyle name="Currency" xfId="46"/>
    <cellStyle name="Měna0" xfId="47"/>
    <cellStyle name="Currency [0]" xfId="48"/>
    <cellStyle name="Milliers [0]_ReportingFR.xls Graphique 2" xfId="49"/>
    <cellStyle name="Milliers_~0009551" xfId="50"/>
    <cellStyle name="Monétaire [0]_ReportingFR.xls Graphique 2" xfId="51"/>
    <cellStyle name="Monétaire_ReportingFR.xls Graphique 2" xfId="52"/>
    <cellStyle name="Nadpis 1" xfId="53"/>
    <cellStyle name="Nadpis 2" xfId="54"/>
    <cellStyle name="Nadpis 3" xfId="55"/>
    <cellStyle name="Nadpis 4" xfId="56"/>
    <cellStyle name="NADPIS1" xfId="57"/>
    <cellStyle name="NADPIS2" xfId="58"/>
    <cellStyle name="Název" xfId="59"/>
    <cellStyle name="Neutrální" xfId="60"/>
    <cellStyle name="Normal_~0009551" xfId="61"/>
    <cellStyle name="normální 2" xfId="62"/>
    <cellStyle name="normální 2 2" xfId="63"/>
    <cellStyle name="normální 3" xfId="64"/>
    <cellStyle name="normální_Kalkulace 2008 verze2 2" xfId="65"/>
    <cellStyle name="normální_Nájemné 2007" xfId="66"/>
    <cellStyle name="PEVNÝ" xfId="67"/>
    <cellStyle name="Followed Hyperlink" xfId="68"/>
    <cellStyle name="Poznámka" xfId="69"/>
    <cellStyle name="procent 2" xfId="70"/>
    <cellStyle name="procent 3" xfId="71"/>
    <cellStyle name="procent 4" xfId="72"/>
    <cellStyle name="procent 4 2" xfId="73"/>
    <cellStyle name="procent 5" xfId="74"/>
    <cellStyle name="procent 6" xfId="75"/>
    <cellStyle name="Percent" xfId="76"/>
    <cellStyle name="Propojená buňka" xfId="77"/>
    <cellStyle name="Správně" xfId="78"/>
    <cellStyle name="Text upozornění" xfId="79"/>
    <cellStyle name="Vstup" xfId="80"/>
    <cellStyle name="Výpočet" xfId="81"/>
    <cellStyle name="Výstup" xfId="82"/>
    <cellStyle name="Vysvětlující text" xfId="83"/>
    <cellStyle name="Záhlaví 1" xfId="84"/>
    <cellStyle name="Záhlaví 2" xfId="85"/>
    <cellStyle name="Zvýraznění 1" xfId="86"/>
    <cellStyle name="Zvýraznění 2" xfId="87"/>
    <cellStyle name="Zvýraznění 3" xfId="88"/>
    <cellStyle name="Zvýraznění 4" xfId="89"/>
    <cellStyle name="Zvýraznění 5" xfId="90"/>
    <cellStyle name="Zvýraznění 6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externalLink" Target="externalLinks/externalLink15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pevná složka</a:t>
            </a:r>
          </a:p>
        </c:rich>
      </c:tx>
      <c:layout>
        <c:manualLayout>
          <c:xMode val="factor"/>
          <c:yMode val="factor"/>
          <c:x val="0.004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75"/>
          <c:y val="0.12225"/>
          <c:w val="0.8685"/>
          <c:h val="0.70075"/>
        </c:manualLayout>
      </c:layout>
      <c:scatterChart>
        <c:scatterStyle val="smoothMarker"/>
        <c:varyColors val="0"/>
        <c:ser>
          <c:idx val="0"/>
          <c:order val="0"/>
          <c:tx>
            <c:v>z vodného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'dvousl. - vdm.'!$S$34:$S$59</c:f>
              <c:numCache/>
            </c:numRef>
          </c:xVal>
          <c:yVal>
            <c:numRef>
              <c:f>'dvousl. - vdm.'!$T$34:$T$59</c:f>
              <c:numCache/>
            </c:numRef>
          </c:yVal>
          <c:smooth val="1"/>
        </c:ser>
        <c:ser>
          <c:idx val="1"/>
          <c:order val="1"/>
          <c:tx>
            <c:v>ze stočného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'dvousl. - vdm.'!$S$34:$S$59</c:f>
              <c:numCache/>
            </c:numRef>
          </c:xVal>
          <c:yVal>
            <c:numRef>
              <c:f>'dvousl. - vdm.'!$U$34:$U$59</c:f>
              <c:numCache/>
            </c:numRef>
          </c:yVal>
          <c:smooth val="1"/>
        </c:ser>
        <c:axId val="28703729"/>
        <c:axId val="57006970"/>
      </c:scatterChart>
      <c:valAx>
        <c:axId val="2870372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U</a:t>
                </a:r>
                <a:r>
                  <a:rPr lang="en-US" cap="none" sz="875" b="1" i="0" u="none" baseline="-2500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1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06970"/>
        <c:crosses val="autoZero"/>
        <c:crossBetween val="midCat"/>
        <c:dispUnits/>
      </c:valAx>
      <c:valAx>
        <c:axId val="570069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pevná složka
[Kč/ks.rok]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87037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9"/>
          <c:y val="0.91525"/>
          <c:w val="0.4267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609600</xdr:colOff>
      <xdr:row>0</xdr:row>
      <xdr:rowOff>561975</xdr:rowOff>
    </xdr:to>
    <xdr:pic>
      <xdr:nvPicPr>
        <xdr:cNvPr id="1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0</xdr:row>
      <xdr:rowOff>47625</xdr:rowOff>
    </xdr:from>
    <xdr:to>
      <xdr:col>9</xdr:col>
      <xdr:colOff>285750</xdr:colOff>
      <xdr:row>0</xdr:row>
      <xdr:rowOff>209550</xdr:rowOff>
    </xdr:to>
    <xdr:pic>
      <xdr:nvPicPr>
        <xdr:cNvPr id="2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47625"/>
          <a:ext cx="2419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109</xdr:row>
      <xdr:rowOff>123825</xdr:rowOff>
    </xdr:from>
    <xdr:to>
      <xdr:col>15</xdr:col>
      <xdr:colOff>466725</xdr:colOff>
      <xdr:row>126</xdr:row>
      <xdr:rowOff>95250</xdr:rowOff>
    </xdr:to>
    <xdr:graphicFrame>
      <xdr:nvGraphicFramePr>
        <xdr:cNvPr id="1" name="Chart 3"/>
        <xdr:cNvGraphicFramePr/>
      </xdr:nvGraphicFramePr>
      <xdr:xfrm>
        <a:off x="10582275" y="22612350"/>
        <a:ext cx="49911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khp.cz/Kalkulace/2015/Varianta%201/Podklady/varianta%201/Budget%202008%20plni&#269;%20pracovn&#237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Reporting_02\Rep-Europe\juin\Reporting%20hongrie%2005%2020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FR\finance\2008\reporting\CHART_02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FR\finance\2008\reporting\07\CHART_020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Contr&#244;le%20de%20gestion\Etienne\Reporting\2002\02%20-%20Fevrier\Allemagne\Berlin\Reporting%20FR%2002%20BWH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landine.chenot\Local%20Settings\Temporary%20Internet%20Files\OLK21\REDAL%20Reporting%20mensuel%20Mars%202004%20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khp.cz/Dokumenty\2011\Pl&#225;n\Pl&#225;n%202011%20verze%201%20-%20budget\Podklady\Budget%202008%20plni&#269;%20pracovn&#2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ntr&#244;le%20de%20gestion\Jean-Paul\Actus%202004\Actu%202%202004\Pr&#233;paration%20A2%202004\Allemagne\Berlin\A2%202004%20BWB-A&#214;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Reporting01\REEL%202001\ScVK%2031.12.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TA\VE\2002\plan\Plan%20Roztok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TA\VE\2002\plan\plan2002\vysledovka%20PROVAK\PROVAK%202001%20pla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ontr&#244;le%20de%20gestion\Jean-Paul\Actus%202004\Actu%202%202004\Pr&#233;paration%20A2%202004\Allemagne\Berlin\Format%20reporting\Format%20reportin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ntr&#244;le%20de%20gestion\Jean-Paul\Actus%202004\Actu%201%202004\Pr&#233;paration%20A1%202004\Allemagne\Berlin\A1%202004%20BWB-A&#214;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ontr&#244;le%20de%20gestion\Pierre-Emmanuel\Actu3\Italie\A3%20CG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05_12_SX225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ysledovka"/>
      <sheetName val="rozvaha"/>
      <sheetName val="Tax Year"/>
      <sheetName val="Analyzy"/>
      <sheetName val="Interco"/>
      <sheetName val="REPORT"/>
      <sheetName val="Odložená daň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ungary-€"/>
      <sheetName val="Servitec-€"/>
      <sheetName val="Csatorna-€"/>
      <sheetName val="Szeged-€"/>
      <sheetName val="FCSM-€"/>
      <sheetName val="Servitec-HUF"/>
      <sheetName val="Csatorna-HUF"/>
      <sheetName val="Szeged-HUF"/>
      <sheetName val="FCSM-HUF"/>
      <sheetName val="variables"/>
    </sheetNames>
    <sheetDataSet>
      <sheetData sheetId="9">
        <row r="6">
          <cell r="B6">
            <v>2.4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Kontroly"/>
      <sheetName val="Settings"/>
      <sheetName val="Vysledovka"/>
      <sheetName val="Aktiva"/>
      <sheetName val="Aktiva_IFRS"/>
      <sheetName val="Aktiva_forecast"/>
      <sheetName val="Pasiva"/>
      <sheetName val="Pasiva_IFRS"/>
      <sheetName val="Pasiva_forecast"/>
      <sheetName val="Interco"/>
      <sheetName val="Analyzy"/>
      <sheetName val="cash"/>
      <sheetName val="RPT"/>
      <sheetName val="REPORT"/>
      <sheetName val="CF"/>
      <sheetName val="CHART_0208"/>
    </sheetNames>
    <sheetDataSet>
      <sheetData sheetId="1">
        <row r="50">
          <cell r="A50" t="str">
            <v>CGE</v>
          </cell>
          <cell r="P50" t="str">
            <v>ACTUAL</v>
          </cell>
        </row>
        <row r="51">
          <cell r="A51" t="str">
            <v>VV Hungary</v>
          </cell>
          <cell r="P51" t="str">
            <v>FORECAST</v>
          </cell>
        </row>
        <row r="52">
          <cell r="A52" t="str">
            <v>Veolia Voda ČR</v>
          </cell>
          <cell r="P52" t="str">
            <v>MB</v>
          </cell>
        </row>
        <row r="53">
          <cell r="A53" t="str">
            <v>Vodárna Plzeň</v>
          </cell>
          <cell r="P53" t="str">
            <v>MA1</v>
          </cell>
        </row>
        <row r="54">
          <cell r="A54" t="str">
            <v>Szeged Hungary</v>
          </cell>
          <cell r="P54" t="str">
            <v>MA2</v>
          </cell>
        </row>
        <row r="55">
          <cell r="A55" t="str">
            <v>Salgotarjan</v>
          </cell>
        </row>
        <row r="56">
          <cell r="A56" t="str">
            <v>ETV Hungary</v>
          </cell>
        </row>
        <row r="57">
          <cell r="A57" t="str">
            <v>Fovarosi Hungary</v>
          </cell>
        </row>
        <row r="58">
          <cell r="A58" t="str">
            <v>VOSS</v>
          </cell>
        </row>
        <row r="59">
          <cell r="A59" t="str">
            <v>SČVK</v>
          </cell>
        </row>
        <row r="60">
          <cell r="A60" t="str">
            <v>1.JVS</v>
          </cell>
        </row>
        <row r="61">
          <cell r="A61" t="str">
            <v>Csatorna Hungary</v>
          </cell>
        </row>
        <row r="62">
          <cell r="A62" t="str">
            <v>Vodospol Klatovy</v>
          </cell>
        </row>
        <row r="63">
          <cell r="A63" t="str">
            <v>SMV</v>
          </cell>
        </row>
        <row r="64">
          <cell r="A64" t="str">
            <v>Aqua  Servis Rychnov </v>
          </cell>
        </row>
        <row r="65">
          <cell r="A65" t="str">
            <v>Veolia Voda S.A.</v>
          </cell>
        </row>
        <row r="66">
          <cell r="A66" t="str">
            <v>PVK</v>
          </cell>
        </row>
        <row r="67">
          <cell r="A67" t="str">
            <v>SVK</v>
          </cell>
        </row>
        <row r="68">
          <cell r="A68" t="str">
            <v>1.SČV</v>
          </cell>
        </row>
        <row r="69">
          <cell r="A69" t="str">
            <v>PWiK Poland</v>
          </cell>
        </row>
        <row r="70">
          <cell r="A70" t="str">
            <v>SV Kladno-Mělník</v>
          </cell>
        </row>
        <row r="71">
          <cell r="A71" t="str">
            <v>KEST</v>
          </cell>
        </row>
        <row r="72">
          <cell r="A72" t="str">
            <v>Královehradecká provozní</v>
          </cell>
        </row>
        <row r="73">
          <cell r="A73" t="str">
            <v>Slavos</v>
          </cell>
        </row>
        <row r="74">
          <cell r="A74" t="str">
            <v>PVPS Poprad</v>
          </cell>
        </row>
        <row r="75">
          <cell r="A75" t="str">
            <v>StVPS Banska</v>
          </cell>
        </row>
        <row r="76">
          <cell r="A76" t="str">
            <v>BCOV</v>
          </cell>
        </row>
        <row r="77">
          <cell r="A77" t="str">
            <v>Varis</v>
          </cell>
        </row>
        <row r="78">
          <cell r="A78" t="str">
            <v>Solutions &amp; Services</v>
          </cell>
        </row>
        <row r="79">
          <cell r="A79" t="str">
            <v>Česká voda</v>
          </cell>
        </row>
        <row r="80">
          <cell r="A80" t="str">
            <v>Ostatní spol. ve skupině</v>
          </cell>
        </row>
        <row r="81">
          <cell r="A81" t="str">
            <v>Ravos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Kontroly"/>
      <sheetName val="Settings"/>
      <sheetName val="Vysledovka"/>
      <sheetName val="Aktiva"/>
      <sheetName val="Aktiva_IFRS"/>
      <sheetName val="Aktiva_forecast"/>
      <sheetName val="Pasiva"/>
      <sheetName val="Pasiva_IFRS"/>
      <sheetName val="Pasiva_forecast"/>
      <sheetName val="Interco"/>
      <sheetName val="Analyzy"/>
      <sheetName val="cash"/>
      <sheetName val="RPT"/>
      <sheetName val="REPORT"/>
      <sheetName val="CF"/>
    </sheetNames>
    <sheetDataSet>
      <sheetData sheetId="1">
        <row r="50">
          <cell r="A50" t="str">
            <v>CGE</v>
          </cell>
        </row>
        <row r="51">
          <cell r="A51" t="str">
            <v>VV Hungary</v>
          </cell>
        </row>
        <row r="52">
          <cell r="A52" t="str">
            <v>Veolia Voda ČR</v>
          </cell>
        </row>
        <row r="53">
          <cell r="A53" t="str">
            <v>Vodárna Plzeň</v>
          </cell>
        </row>
        <row r="54">
          <cell r="A54" t="str">
            <v>Szeged Hungary</v>
          </cell>
        </row>
        <row r="55">
          <cell r="A55" t="str">
            <v>Salgotarjan</v>
          </cell>
        </row>
        <row r="56">
          <cell r="A56" t="str">
            <v>ETV Hungary</v>
          </cell>
        </row>
        <row r="57">
          <cell r="A57" t="str">
            <v>Fovarosi Hungary</v>
          </cell>
        </row>
        <row r="58">
          <cell r="A58" t="str">
            <v>VOSS</v>
          </cell>
        </row>
        <row r="59">
          <cell r="A59" t="str">
            <v>SČVK</v>
          </cell>
        </row>
        <row r="60">
          <cell r="A60" t="str">
            <v>1.JVS</v>
          </cell>
        </row>
        <row r="61">
          <cell r="A61" t="str">
            <v>Csatorna Hungary</v>
          </cell>
        </row>
        <row r="62">
          <cell r="A62" t="str">
            <v>Vodospol Klatovy</v>
          </cell>
        </row>
        <row r="63">
          <cell r="A63" t="str">
            <v>SMV</v>
          </cell>
        </row>
        <row r="64">
          <cell r="A64" t="str">
            <v>Aqua  Servis Rychnov </v>
          </cell>
        </row>
        <row r="65">
          <cell r="A65" t="str">
            <v>Veolia Voda S.A.</v>
          </cell>
        </row>
        <row r="66">
          <cell r="A66" t="str">
            <v>PVK</v>
          </cell>
        </row>
        <row r="67">
          <cell r="A67" t="str">
            <v>SVK</v>
          </cell>
        </row>
        <row r="68">
          <cell r="A68" t="str">
            <v>1.SČV</v>
          </cell>
        </row>
        <row r="69">
          <cell r="A69" t="str">
            <v>PWiK Poland</v>
          </cell>
        </row>
        <row r="70">
          <cell r="A70" t="str">
            <v>SV Kladno-Mělník</v>
          </cell>
        </row>
        <row r="71">
          <cell r="A71" t="str">
            <v>KEST</v>
          </cell>
        </row>
        <row r="72">
          <cell r="A72" t="str">
            <v>Královehradecká provozní</v>
          </cell>
        </row>
        <row r="73">
          <cell r="A73" t="str">
            <v>Slavos</v>
          </cell>
        </row>
        <row r="74">
          <cell r="A74" t="str">
            <v>PVPS Poprad</v>
          </cell>
        </row>
        <row r="75">
          <cell r="A75" t="str">
            <v>StVPS Banska</v>
          </cell>
        </row>
        <row r="76">
          <cell r="A76" t="str">
            <v>BCOV</v>
          </cell>
        </row>
        <row r="77">
          <cell r="A77" t="str">
            <v>Varis</v>
          </cell>
        </row>
        <row r="78">
          <cell r="A78" t="str">
            <v>Solutions &amp; Services</v>
          </cell>
        </row>
        <row r="79">
          <cell r="A79" t="str">
            <v>Česká voda</v>
          </cell>
        </row>
        <row r="80">
          <cell r="A80" t="str">
            <v>Ostatní spol. ve skupině</v>
          </cell>
        </row>
        <row r="81">
          <cell r="A81" t="str">
            <v>Ravos</v>
          </cell>
        </row>
        <row r="86">
          <cell r="A86" t="str">
            <v>  -  NEKONSOLIDOVANÉ :</v>
          </cell>
        </row>
        <row r="87">
          <cell r="A87" t="str">
            <v>1JVS s.r.o</v>
          </cell>
        </row>
        <row r="88">
          <cell r="A88" t="str">
            <v>Institut enviromentálních služeb</v>
          </cell>
        </row>
        <row r="89">
          <cell r="A89" t="str">
            <v>VAK Hradec Králové</v>
          </cell>
        </row>
        <row r="90">
          <cell r="A90" t="str">
            <v>VAK Pardubice</v>
          </cell>
        </row>
        <row r="91">
          <cell r="A91" t="str">
            <v>VAK Náchod</v>
          </cell>
        </row>
        <row r="92">
          <cell r="A92" t="str">
            <v>Hydria</v>
          </cell>
        </row>
        <row r="93">
          <cell r="A93" t="str">
            <v>Česká voda</v>
          </cell>
        </row>
        <row r="94">
          <cell r="A94" t="str">
            <v>Vak Mladá Boleslav </v>
          </cell>
        </row>
        <row r="95">
          <cell r="A95" t="str">
            <v>Vodárny Kladno Mělník</v>
          </cell>
        </row>
        <row r="96">
          <cell r="A96" t="str">
            <v>VHS Olomouc</v>
          </cell>
        </row>
        <row r="97">
          <cell r="A97" t="str">
            <v>Nadační fond Veolia</v>
          </cell>
        </row>
        <row r="98">
          <cell r="A98" t="str">
            <v>Veolia Water Slovensko</v>
          </cell>
        </row>
        <row r="99">
          <cell r="A99" t="str">
            <v>Veolia Water CIS Russia</v>
          </cell>
        </row>
        <row r="101">
          <cell r="A101" t="str">
            <v>Společnosti mimo skupinu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evises"/>
      <sheetName val="€"/>
      <sheetName val="Graphique"/>
    </sheetNames>
    <sheetDataSet>
      <sheetData sheetId="1">
        <row r="71">
          <cell r="E71">
            <v>1.95583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euille de Commentaires"/>
      <sheetName val="Devises"/>
      <sheetName val="€"/>
      <sheetName val="Graphique à màj"/>
      <sheetName val="données Bilan à saisir"/>
      <sheetName val="données CR à saisir"/>
      <sheetName val="Indicateurs (màj automatique)"/>
    </sheetNames>
    <sheetDataSet>
      <sheetData sheetId="1">
        <row r="77">
          <cell r="I77">
            <v>0.09229526510522768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ysledovka"/>
      <sheetName val="rozvaha"/>
      <sheetName val="Tax Year"/>
      <sheetName val="Analyzy"/>
      <sheetName val="Interco"/>
      <sheetName val="REPORT"/>
      <sheetName val="Odložená da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-Basic"/>
      <sheetName val="1-C&amp;R"/>
      <sheetName val="1-C&amp;R LOC+RET"/>
      <sheetName val="2-Bilan"/>
      <sheetName val="2-Bilan LOC+RET"/>
      <sheetName val="3-Tab Financement"/>
      <sheetName val="3-Tab Financement LOC+RET"/>
      <sheetName val="CAF-InvFI-Cap-Div"/>
      <sheetName val="CAF-InvFI-Cap-Div LOC+RET"/>
      <sheetName val="4-RCI"/>
      <sheetName val="4-RCI LOC+RET"/>
      <sheetName val="VA A2 -B 2004"/>
      <sheetName val="Ecarts Bil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-Basic"/>
      <sheetName val="1-C&amp;R"/>
      <sheetName val="€ C&amp;R"/>
      <sheetName val="2-Bilan"/>
      <sheetName val="€ Bilan"/>
      <sheetName val="3-Flux trésorerie"/>
      <sheetName val="€ Flux trésorerie"/>
      <sheetName val="4-RCI"/>
      <sheetName val=" € RCI"/>
      <sheetName val="0_Basic"/>
    </sheetNames>
    <sheetDataSet>
      <sheetData sheetId="0">
        <row r="2">
          <cell r="B2" t="str">
            <v>Tchéquie</v>
          </cell>
        </row>
        <row r="3">
          <cell r="B3" t="str">
            <v>ScVK</v>
          </cell>
        </row>
        <row r="4">
          <cell r="B4" t="str">
            <v>K Kc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kutek 2001"/>
      <sheetName val="Kalkulace"/>
      <sheetName val="příprava sk"/>
      <sheetName val="příprava kalk"/>
      <sheetName val="Porovnání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O VAK"/>
      <sheetName val="RO PCOV"/>
      <sheetName val="RO CIZI"/>
      <sheetName val="RO CELKEM"/>
      <sheetName val="PE VAK"/>
      <sheetName val="PE CIZI"/>
      <sheetName val="PE CELKEM"/>
      <sheetName val="VR"/>
      <sheetName val="VE"/>
      <sheetName val="CELKEM"/>
      <sheetName val="CELKEM stred"/>
      <sheetName val="2000 po novu"/>
      <sheetName val="200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€"/>
      <sheetName val="Devise"/>
      <sheetName val="Détails CA &amp; charges"/>
      <sheetName val="Réel 03"/>
      <sheetName val="Budget 04"/>
      <sheetName val="Réel 04"/>
      <sheetName val="Graphiqu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-Basic"/>
      <sheetName val="1-C&amp;R"/>
      <sheetName val="2-Bilan"/>
      <sheetName val="3-Tab Financement"/>
      <sheetName val="CAF-InvFI-Cap-Div"/>
      <sheetName val="4-RCI"/>
      <sheetName val="Ecarts C&amp;R"/>
      <sheetName val="Ecarts Bilan"/>
      <sheetName val="Calcul TF"/>
      <sheetName val="A1 2004 BWB-AÖ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-Basic"/>
      <sheetName val="1-C&amp;R"/>
      <sheetName val="€ C&amp;R"/>
      <sheetName val="2-Bilan"/>
      <sheetName val="€ Bilan"/>
      <sheetName val="3-Flux trésorerie"/>
      <sheetName val="€ Flux trésorerie"/>
      <sheetName val="4-RCI"/>
      <sheetName val=" € RCI"/>
      <sheetName val="€ RCI"/>
      <sheetName val="0_Basic"/>
    </sheetNames>
    <sheetDataSet>
      <sheetData sheetId="0">
        <row r="18">
          <cell r="E18">
            <v>0.0005164568990894864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5_12_SX225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>
    <tabColor indexed="42"/>
    <pageSetUpPr fitToPage="1"/>
  </sheetPr>
  <dimension ref="A1:K45"/>
  <sheetViews>
    <sheetView zoomScalePageLayoutView="0" workbookViewId="0" topLeftCell="A1">
      <pane xSplit="2" ySplit="1" topLeftCell="C8" activePane="bottomRight" state="frozen"/>
      <selection pane="topLeft" activeCell="F39" sqref="F39"/>
      <selection pane="topRight" activeCell="F39" sqref="F39"/>
      <selection pane="bottomLeft" activeCell="F39" sqref="F39"/>
      <selection pane="bottomRight" activeCell="F39" sqref="F39"/>
    </sheetView>
  </sheetViews>
  <sheetFormatPr defaultColWidth="9.00390625" defaultRowHeight="12.75"/>
  <cols>
    <col min="1" max="1" width="33.375" style="246" customWidth="1"/>
    <col min="2" max="2" width="8.875" style="260" customWidth="1"/>
    <col min="3" max="4" width="13.375" style="244" customWidth="1"/>
    <col min="5" max="5" width="11.75390625" style="245" customWidth="1"/>
    <col min="6" max="6" width="9.00390625" style="246" customWidth="1"/>
    <col min="7" max="7" width="5.00390625" style="246" customWidth="1"/>
    <col min="8" max="9" width="14.375" style="244" customWidth="1"/>
    <col min="10" max="10" width="14.375" style="243" customWidth="1"/>
    <col min="11" max="11" width="11.125" style="246" bestFit="1" customWidth="1"/>
    <col min="12" max="16384" width="9.125" style="246" customWidth="1"/>
  </cols>
  <sheetData>
    <row r="1" spans="1:2" ht="25.5" customHeight="1">
      <c r="A1" s="242" t="s">
        <v>155</v>
      </c>
      <c r="B1" s="344">
        <v>0.023</v>
      </c>
    </row>
    <row r="2" spans="1:9" ht="12.75">
      <c r="A2" s="247" t="s">
        <v>156</v>
      </c>
      <c r="B2" s="248" t="s">
        <v>157</v>
      </c>
      <c r="C2" s="368">
        <v>2018</v>
      </c>
      <c r="D2" s="1">
        <f>+C2+1</f>
        <v>2019</v>
      </c>
      <c r="E2" s="420" t="s">
        <v>158</v>
      </c>
      <c r="F2" s="421"/>
      <c r="H2" s="1" t="s">
        <v>245</v>
      </c>
      <c r="I2" s="249" t="s">
        <v>148</v>
      </c>
    </row>
    <row r="3" spans="1:9" ht="12.75">
      <c r="A3" s="213" t="s">
        <v>159</v>
      </c>
      <c r="B3" s="217" t="s">
        <v>160</v>
      </c>
      <c r="C3" s="250">
        <v>181447000</v>
      </c>
      <c r="D3" s="250">
        <v>181745132</v>
      </c>
      <c r="E3" s="250">
        <f>+D3-C3</f>
        <v>298132</v>
      </c>
      <c r="F3" s="251">
        <f>+D3/C3-1</f>
        <v>0.001643080348531445</v>
      </c>
      <c r="H3" s="266">
        <f>+ROUND(C3*(1+$B$1),-3)</f>
        <v>185620000</v>
      </c>
      <c r="I3" s="250">
        <f>+D3-H3</f>
        <v>-3874868</v>
      </c>
    </row>
    <row r="4" spans="1:9" ht="12.75">
      <c r="A4" s="213" t="s">
        <v>161</v>
      </c>
      <c r="B4" s="217" t="s">
        <v>162</v>
      </c>
      <c r="C4" s="250">
        <v>29194216</v>
      </c>
      <c r="D4" s="250">
        <v>29865683</v>
      </c>
      <c r="E4" s="250">
        <f>+D4-C4</f>
        <v>671467</v>
      </c>
      <c r="F4" s="251">
        <f>+D4/C4-1</f>
        <v>0.02300000109610756</v>
      </c>
      <c r="H4" s="266">
        <f>+ROUND(C4*(1+$B$1),-3)</f>
        <v>29866000</v>
      </c>
      <c r="I4" s="250">
        <f>+D4-H4</f>
        <v>-317</v>
      </c>
    </row>
    <row r="5" spans="1:9" ht="12.75">
      <c r="A5" s="213" t="s">
        <v>163</v>
      </c>
      <c r="B5" s="217" t="s">
        <v>164</v>
      </c>
      <c r="C5" s="250">
        <v>41878930</v>
      </c>
      <c r="D5" s="250">
        <v>46206515</v>
      </c>
      <c r="E5" s="250">
        <f>+D5-C5</f>
        <v>4327585</v>
      </c>
      <c r="F5" s="251">
        <f>+D5/C5-1</f>
        <v>0.103335615308223</v>
      </c>
      <c r="H5" s="252">
        <f>+ROUND(C5*(1+$B$1),-3)</f>
        <v>42842000</v>
      </c>
      <c r="I5" s="252">
        <f>+D5-H5</f>
        <v>3364515</v>
      </c>
    </row>
    <row r="6" spans="1:9" s="247" customFormat="1" ht="12.75">
      <c r="A6" s="214" t="s">
        <v>31</v>
      </c>
      <c r="B6" s="248"/>
      <c r="C6" s="253">
        <f>SUM(C3:C5)</f>
        <v>252520146</v>
      </c>
      <c r="D6" s="253">
        <f>SUM(D3:D5)</f>
        <v>257817330</v>
      </c>
      <c r="E6" s="253">
        <f>SUM(E3:E5)</f>
        <v>5297184</v>
      </c>
      <c r="F6" s="254">
        <f>+D6/C6-1</f>
        <v>0.020977272839054928</v>
      </c>
      <c r="H6" s="253">
        <f>+ROUND(C6*(1+$B$1),-3)</f>
        <v>258328000</v>
      </c>
      <c r="I6" s="253">
        <f>+D6-H6</f>
        <v>-510670</v>
      </c>
    </row>
    <row r="7" spans="1:9" s="247" customFormat="1" ht="12.75">
      <c r="A7" s="216" t="s">
        <v>165</v>
      </c>
      <c r="B7" s="255"/>
      <c r="C7" s="229">
        <f>+C5/(C4+C3)</f>
        <v>0.19881640827595679</v>
      </c>
      <c r="D7" s="229">
        <f>+D5/(D4+D3)</f>
        <v>0.21835611284801298</v>
      </c>
      <c r="H7" s="229"/>
      <c r="I7" s="229"/>
    </row>
    <row r="8" spans="1:9" s="247" customFormat="1" ht="12.75">
      <c r="A8" s="256" t="s">
        <v>212</v>
      </c>
      <c r="B8" s="255"/>
      <c r="C8" s="229"/>
      <c r="D8" s="229">
        <f>+D5/C5-1</f>
        <v>0.103335615308223</v>
      </c>
      <c r="H8" s="229"/>
      <c r="I8" s="229"/>
    </row>
    <row r="9" spans="1:9" s="247" customFormat="1" ht="12.75">
      <c r="A9" s="215"/>
      <c r="B9" s="257"/>
      <c r="C9" s="258"/>
      <c r="D9" s="258"/>
      <c r="H9" s="258"/>
      <c r="I9" s="258"/>
    </row>
    <row r="10" spans="1:2" ht="12.75">
      <c r="A10" s="247" t="s">
        <v>166</v>
      </c>
      <c r="B10" s="259"/>
    </row>
    <row r="11" spans="1:9" ht="12.75">
      <c r="A11" s="214"/>
      <c r="B11" s="248" t="s">
        <v>157</v>
      </c>
      <c r="C11" s="249">
        <f>+C2</f>
        <v>2018</v>
      </c>
      <c r="D11" s="249">
        <f>+D2</f>
        <v>2019</v>
      </c>
      <c r="E11" s="420" t="str">
        <f>+E2</f>
        <v>změna</v>
      </c>
      <c r="F11" s="421"/>
      <c r="H11" s="249" t="str">
        <f>+H2</f>
        <v>inflační nárůst</v>
      </c>
      <c r="I11" s="249" t="str">
        <f>+I2</f>
        <v>rozdíl</v>
      </c>
    </row>
    <row r="12" spans="1:9" ht="12.75">
      <c r="A12" s="213" t="s">
        <v>167</v>
      </c>
      <c r="B12" s="217" t="s">
        <v>168</v>
      </c>
      <c r="C12" s="250">
        <v>1568024</v>
      </c>
      <c r="D12" s="374">
        <v>1095948</v>
      </c>
      <c r="E12" s="250">
        <f aca="true" t="shared" si="0" ref="E12:E20">+D12-C12</f>
        <v>-472076</v>
      </c>
      <c r="F12" s="251">
        <f>+D12/C12-1</f>
        <v>-0.30106426942444764</v>
      </c>
      <c r="H12" s="266">
        <f>+ROUND(C12*(1+$B$1),-3)</f>
        <v>1604000</v>
      </c>
      <c r="I12" s="252">
        <f aca="true" t="shared" si="1" ref="I12:I21">+D12-H12</f>
        <v>-508052</v>
      </c>
    </row>
    <row r="13" spans="1:9" ht="12.75">
      <c r="A13" s="213" t="s">
        <v>169</v>
      </c>
      <c r="B13" s="217" t="s">
        <v>170</v>
      </c>
      <c r="C13" s="250"/>
      <c r="D13" s="250"/>
      <c r="E13" s="250">
        <f t="shared" si="0"/>
        <v>0</v>
      </c>
      <c r="F13" s="251" t="e">
        <f>+D13/C13-1</f>
        <v>#DIV/0!</v>
      </c>
      <c r="H13" s="266"/>
      <c r="I13" s="250">
        <f t="shared" si="1"/>
        <v>0</v>
      </c>
    </row>
    <row r="14" spans="1:9" ht="12.75">
      <c r="A14" s="213" t="s">
        <v>171</v>
      </c>
      <c r="B14" s="217" t="s">
        <v>172</v>
      </c>
      <c r="C14" s="250"/>
      <c r="D14" s="250"/>
      <c r="E14" s="250">
        <f t="shared" si="0"/>
        <v>0</v>
      </c>
      <c r="F14" s="251" t="e">
        <f>+D14/C14-1</f>
        <v>#DIV/0!</v>
      </c>
      <c r="H14" s="266"/>
      <c r="I14" s="250">
        <f t="shared" si="1"/>
        <v>0</v>
      </c>
    </row>
    <row r="15" spans="1:9" ht="12.75">
      <c r="A15" s="213" t="s">
        <v>173</v>
      </c>
      <c r="B15" s="217" t="s">
        <v>174</v>
      </c>
      <c r="C15" s="250"/>
      <c r="D15" s="250"/>
      <c r="E15" s="250">
        <f t="shared" si="0"/>
        <v>0</v>
      </c>
      <c r="F15" s="251" t="e">
        <f>+D15/C15-1</f>
        <v>#DIV/0!</v>
      </c>
      <c r="H15" s="266"/>
      <c r="I15" s="250">
        <f t="shared" si="1"/>
        <v>0</v>
      </c>
    </row>
    <row r="16" spans="1:9" ht="12.75">
      <c r="A16" s="213" t="s">
        <v>175</v>
      </c>
      <c r="B16" s="217" t="s">
        <v>176</v>
      </c>
      <c r="C16" s="250"/>
      <c r="D16" s="250"/>
      <c r="E16" s="250">
        <f t="shared" si="0"/>
        <v>0</v>
      </c>
      <c r="F16" s="251"/>
      <c r="H16" s="266"/>
      <c r="I16" s="250">
        <f t="shared" si="1"/>
        <v>0</v>
      </c>
    </row>
    <row r="17" spans="1:9" ht="12.75">
      <c r="A17" s="213" t="s">
        <v>177</v>
      </c>
      <c r="B17" s="217" t="s">
        <v>178</v>
      </c>
      <c r="C17" s="250"/>
      <c r="D17" s="250"/>
      <c r="E17" s="250">
        <f t="shared" si="0"/>
        <v>0</v>
      </c>
      <c r="F17" s="251" t="e">
        <f>+D17/C17-1</f>
        <v>#DIV/0!</v>
      </c>
      <c r="H17" s="266"/>
      <c r="I17" s="250">
        <f t="shared" si="1"/>
        <v>0</v>
      </c>
    </row>
    <row r="18" spans="1:9" ht="12.75">
      <c r="A18" s="213" t="s">
        <v>179</v>
      </c>
      <c r="B18" s="217" t="s">
        <v>180</v>
      </c>
      <c r="C18" s="250"/>
      <c r="D18" s="250"/>
      <c r="E18" s="250">
        <f t="shared" si="0"/>
        <v>0</v>
      </c>
      <c r="F18" s="251"/>
      <c r="H18" s="266"/>
      <c r="I18" s="250">
        <f t="shared" si="1"/>
        <v>0</v>
      </c>
    </row>
    <row r="19" spans="1:9" ht="12.75">
      <c r="A19" s="213" t="s">
        <v>181</v>
      </c>
      <c r="B19" s="217" t="s">
        <v>182</v>
      </c>
      <c r="C19" s="250"/>
      <c r="D19" s="250"/>
      <c r="E19" s="250">
        <f t="shared" si="0"/>
        <v>0</v>
      </c>
      <c r="F19" s="251"/>
      <c r="H19" s="266"/>
      <c r="I19" s="250">
        <f t="shared" si="1"/>
        <v>0</v>
      </c>
    </row>
    <row r="20" spans="1:9" ht="12.75">
      <c r="A20" s="213" t="s">
        <v>183</v>
      </c>
      <c r="B20" s="217" t="s">
        <v>184</v>
      </c>
      <c r="C20" s="250">
        <v>6519995</v>
      </c>
      <c r="D20" s="250">
        <f>+ROUND(C20*1.023,0)</f>
        <v>6669955</v>
      </c>
      <c r="E20" s="250">
        <f t="shared" si="0"/>
        <v>149960</v>
      </c>
      <c r="F20" s="251">
        <f>+D20/C20-1</f>
        <v>0.023000017638050263</v>
      </c>
      <c r="H20" s="266">
        <f>+ROUND(C20*(1+$B$1),-3)</f>
        <v>6670000</v>
      </c>
      <c r="I20" s="250">
        <f t="shared" si="1"/>
        <v>-45</v>
      </c>
    </row>
    <row r="21" spans="1:9" ht="12.75">
      <c r="A21" s="214" t="s">
        <v>185</v>
      </c>
      <c r="B21" s="248"/>
      <c r="C21" s="253">
        <f>SUM(C12:C20)</f>
        <v>8088019</v>
      </c>
      <c r="D21" s="372">
        <f>SUM(D12:D20)</f>
        <v>7765903</v>
      </c>
      <c r="E21" s="253">
        <f>SUM(E12:E20)</f>
        <v>-322116</v>
      </c>
      <c r="F21" s="254">
        <f>+D21/C21-1</f>
        <v>-0.03982631593719055</v>
      </c>
      <c r="H21" s="253">
        <f>+ROUND(C21*(1+$B$1),-3)</f>
        <v>8274000</v>
      </c>
      <c r="I21" s="253">
        <f t="shared" si="1"/>
        <v>-508097</v>
      </c>
    </row>
    <row r="23" spans="1:9" ht="12.75">
      <c r="A23" s="214" t="s">
        <v>186</v>
      </c>
      <c r="B23" s="248"/>
      <c r="C23" s="253">
        <f>+C6-C21+1</f>
        <v>244432128</v>
      </c>
      <c r="D23" s="253">
        <f>+D6-D21</f>
        <v>250051427</v>
      </c>
      <c r="E23" s="253">
        <f>+E6-E21</f>
        <v>5619300</v>
      </c>
      <c r="F23" s="254">
        <f>+D23/C23-1</f>
        <v>0.022989199684912087</v>
      </c>
      <c r="H23" s="266">
        <f>+ROUND(C23*(1+$B$1),-3)</f>
        <v>250054000</v>
      </c>
      <c r="I23" s="253">
        <f>+D23-H23</f>
        <v>-2573</v>
      </c>
    </row>
    <row r="24" spans="1:9" ht="12.75">
      <c r="A24" s="241" t="s">
        <v>187</v>
      </c>
      <c r="B24" s="261"/>
      <c r="C24" s="250">
        <v>80809640</v>
      </c>
      <c r="D24" s="250">
        <v>78307252</v>
      </c>
      <c r="E24" s="250">
        <f>+D24-C24</f>
        <v>-2502388</v>
      </c>
      <c r="F24" s="251">
        <f>+D24/C24-1</f>
        <v>-0.03096645400227005</v>
      </c>
      <c r="H24" s="266">
        <f>+ROUND(C24*(1+$B$1),-3)</f>
        <v>82668000</v>
      </c>
      <c r="I24" s="250">
        <f>+D24-H24</f>
        <v>-4360748</v>
      </c>
    </row>
    <row r="25" spans="1:9" ht="12.75">
      <c r="A25" s="241" t="s">
        <v>188</v>
      </c>
      <c r="B25" s="261"/>
      <c r="C25" s="250">
        <v>96156863</v>
      </c>
      <c r="D25" s="250">
        <v>99239573</v>
      </c>
      <c r="E25" s="250">
        <f>+D25-C25</f>
        <v>3082710</v>
      </c>
      <c r="F25" s="251">
        <f>+D25/C25-1</f>
        <v>0.0320591781368742</v>
      </c>
      <c r="H25" s="266">
        <f>+ROUND(C25*(1+$B$1),-3)</f>
        <v>98368000</v>
      </c>
      <c r="I25" s="250">
        <f>+D25-H25</f>
        <v>871573</v>
      </c>
    </row>
    <row r="26" spans="1:11" ht="12.75">
      <c r="A26" s="214" t="s">
        <v>189</v>
      </c>
      <c r="B26" s="248"/>
      <c r="C26" s="376">
        <v>111617011</v>
      </c>
      <c r="D26" s="253">
        <f>+ROUND(D23*D24/(D24+D25),0)</f>
        <v>110285499</v>
      </c>
      <c r="E26" s="253">
        <f>+D26-C26</f>
        <v>-1331512</v>
      </c>
      <c r="F26" s="254">
        <f>+D26/C26-1</f>
        <v>-0.011929292749113252</v>
      </c>
      <c r="H26" s="345">
        <f>+ROUND(C26*(1+$B$1),-3)</f>
        <v>114184000</v>
      </c>
      <c r="I26" s="253">
        <f>+D26-H26</f>
        <v>-3898501</v>
      </c>
      <c r="K26" s="243"/>
    </row>
    <row r="27" spans="1:11" ht="12.75">
      <c r="A27" s="214" t="s">
        <v>190</v>
      </c>
      <c r="B27" s="248"/>
      <c r="C27" s="253">
        <f>+C23-C26+1</f>
        <v>132815118</v>
      </c>
      <c r="D27" s="253">
        <f>(+D23-D26)</f>
        <v>139765928</v>
      </c>
      <c r="E27" s="253">
        <f>+D27-C27</f>
        <v>6950810</v>
      </c>
      <c r="F27" s="254">
        <f>+D27/C27-1</f>
        <v>0.052334478970985865</v>
      </c>
      <c r="H27" s="345">
        <f>+ROUND(C27*(1+$B$1),-3)</f>
        <v>135870000</v>
      </c>
      <c r="I27" s="253">
        <f>+D27-H27</f>
        <v>3895928</v>
      </c>
      <c r="K27" s="243"/>
    </row>
    <row r="28" spans="1:9" ht="12.75" hidden="1">
      <c r="A28" s="230" t="s">
        <v>191</v>
      </c>
      <c r="B28" s="248"/>
      <c r="C28" s="262"/>
      <c r="D28" s="262"/>
      <c r="E28" s="263"/>
      <c r="H28" s="262"/>
      <c r="I28" s="262"/>
    </row>
    <row r="29" spans="1:9" ht="12.75">
      <c r="A29" s="215"/>
      <c r="B29" s="257"/>
      <c r="C29" s="264"/>
      <c r="D29" s="264"/>
      <c r="E29" s="265"/>
      <c r="H29" s="264"/>
      <c r="I29" s="264"/>
    </row>
    <row r="30" spans="1:9" s="247" customFormat="1" ht="12.75">
      <c r="A30" s="214" t="s">
        <v>196</v>
      </c>
      <c r="B30" s="214"/>
      <c r="C30" s="345">
        <f>+ROUND(C26/1000,0)</f>
        <v>111617</v>
      </c>
      <c r="D30" s="373">
        <f>+ROUND(D26/1000,0)</f>
        <v>110285</v>
      </c>
      <c r="E30" s="253">
        <f>+D30-C30</f>
        <v>-1332</v>
      </c>
      <c r="F30" s="254">
        <f>+D30/C30-1</f>
        <v>-0.011933666018617228</v>
      </c>
      <c r="H30" s="345">
        <f>+ROUND(C30*(1+$B$1),)</f>
        <v>114184</v>
      </c>
      <c r="I30" s="345">
        <f>+D30-H30</f>
        <v>-3899</v>
      </c>
    </row>
    <row r="31" spans="1:9" s="247" customFormat="1" ht="12.75">
      <c r="A31" s="214" t="s">
        <v>197</v>
      </c>
      <c r="B31" s="214"/>
      <c r="C31" s="345">
        <f>+ROUND(C27/1000,0)</f>
        <v>132815</v>
      </c>
      <c r="D31" s="373">
        <f>+ROUND(D27/1000,0)</f>
        <v>139766</v>
      </c>
      <c r="E31" s="253">
        <f>+D31-C31</f>
        <v>6951</v>
      </c>
      <c r="F31" s="254">
        <f>+D31/C31-1</f>
        <v>0.05233595602906305</v>
      </c>
      <c r="H31" s="345">
        <f>+ROUND(C31*(1+$B$1),)</f>
        <v>135870</v>
      </c>
      <c r="I31" s="345">
        <f>+D31-H31</f>
        <v>3896</v>
      </c>
    </row>
    <row r="32" spans="3:9" s="245" customFormat="1" ht="64.5" customHeight="1">
      <c r="C32" s="264"/>
      <c r="D32" s="264"/>
      <c r="E32" s="265"/>
      <c r="H32" s="264"/>
      <c r="I32" s="264"/>
    </row>
    <row r="33" spans="1:11" s="245" customFormat="1" ht="12.75">
      <c r="A33" s="424"/>
      <c r="B33" s="425"/>
      <c r="C33" s="268">
        <f>+C2</f>
        <v>2018</v>
      </c>
      <c r="D33" s="268">
        <f>+D2</f>
        <v>2019</v>
      </c>
      <c r="E33" s="422" t="s">
        <v>202</v>
      </c>
      <c r="F33" s="423"/>
      <c r="H33" s="268" t="str">
        <f>+H2</f>
        <v>inflační nárůst</v>
      </c>
      <c r="I33" s="268" t="str">
        <f>+I2</f>
        <v>rozdíl</v>
      </c>
      <c r="K33" s="245">
        <v>1</v>
      </c>
    </row>
    <row r="34" spans="1:11" ht="12.75">
      <c r="A34" s="239" t="s">
        <v>159</v>
      </c>
      <c r="B34" s="240" t="s">
        <v>100</v>
      </c>
      <c r="C34" s="235">
        <f aca="true" t="shared" si="2" ref="C34:D36">+C3/1000</f>
        <v>181447</v>
      </c>
      <c r="D34" s="235">
        <f t="shared" si="2"/>
        <v>181745.132</v>
      </c>
      <c r="E34" s="235">
        <f>+D34-C34</f>
        <v>298.13200000001234</v>
      </c>
      <c r="F34" s="269">
        <f aca="true" t="shared" si="3" ref="F34:F43">+D34/C34-1</f>
        <v>0.001643080348531667</v>
      </c>
      <c r="H34" s="235">
        <f aca="true" t="shared" si="4" ref="H34:H43">+C34*(1+$B$1)</f>
        <v>185620.281</v>
      </c>
      <c r="I34" s="235">
        <f>+D34-H34</f>
        <v>-3875.148999999976</v>
      </c>
      <c r="K34" s="246">
        <v>1</v>
      </c>
    </row>
    <row r="35" spans="1:9" ht="12.75">
      <c r="A35" s="239" t="s">
        <v>161</v>
      </c>
      <c r="B35" s="240" t="s">
        <v>100</v>
      </c>
      <c r="C35" s="235">
        <f t="shared" si="2"/>
        <v>29194.216</v>
      </c>
      <c r="D35" s="235">
        <f t="shared" si="2"/>
        <v>29865.683</v>
      </c>
      <c r="E35" s="235">
        <f>+D35-C35</f>
        <v>671.4670000000006</v>
      </c>
      <c r="F35" s="269">
        <f t="shared" si="3"/>
        <v>0.02300000109610756</v>
      </c>
      <c r="H35" s="235">
        <f t="shared" si="4"/>
        <v>29865.682967999997</v>
      </c>
      <c r="I35" s="235">
        <f aca="true" t="shared" si="5" ref="I35:I43">+D35-H35</f>
        <v>3.2000003557186574E-05</v>
      </c>
    </row>
    <row r="36" spans="1:9" ht="12.75">
      <c r="A36" s="239" t="s">
        <v>163</v>
      </c>
      <c r="B36" s="240" t="s">
        <v>100</v>
      </c>
      <c r="C36" s="235">
        <f t="shared" si="2"/>
        <v>41878.93</v>
      </c>
      <c r="D36" s="235">
        <f t="shared" si="2"/>
        <v>46206.515</v>
      </c>
      <c r="E36" s="235">
        <f>+D36-C36</f>
        <v>4327.584999999999</v>
      </c>
      <c r="F36" s="269">
        <f t="shared" si="3"/>
        <v>0.103335615308223</v>
      </c>
      <c r="H36" s="235">
        <f t="shared" si="4"/>
        <v>42842.14539</v>
      </c>
      <c r="I36" s="235">
        <f t="shared" si="5"/>
        <v>3364.3696100000016</v>
      </c>
    </row>
    <row r="37" spans="1:9" ht="12.75">
      <c r="A37" s="237" t="s">
        <v>203</v>
      </c>
      <c r="B37" s="238" t="s">
        <v>100</v>
      </c>
      <c r="C37" s="234">
        <f>SUM(C34:C36)</f>
        <v>252520.146</v>
      </c>
      <c r="D37" s="234">
        <f>SUM(D34:D36)</f>
        <v>257817.33000000002</v>
      </c>
      <c r="E37" s="234">
        <f>SUM(E34:E36)</f>
        <v>5297.184000000012</v>
      </c>
      <c r="F37" s="270">
        <f t="shared" si="3"/>
        <v>0.020977272839054928</v>
      </c>
      <c r="H37" s="234">
        <f t="shared" si="4"/>
        <v>258328.109358</v>
      </c>
      <c r="I37" s="234">
        <f t="shared" si="5"/>
        <v>-510.77935799997067</v>
      </c>
    </row>
    <row r="38" spans="1:9" ht="12.75">
      <c r="A38" s="239" t="s">
        <v>204</v>
      </c>
      <c r="B38" s="240" t="s">
        <v>100</v>
      </c>
      <c r="C38" s="235">
        <f>+C21/1000</f>
        <v>8088.019</v>
      </c>
      <c r="D38" s="235">
        <f>+D21/1000</f>
        <v>7765.903</v>
      </c>
      <c r="E38" s="235">
        <f aca="true" t="shared" si="6" ref="E38:E43">+D38-C38</f>
        <v>-322.116</v>
      </c>
      <c r="F38" s="269">
        <f t="shared" si="3"/>
        <v>-0.03982631593719055</v>
      </c>
      <c r="H38" s="235">
        <f t="shared" si="4"/>
        <v>8274.043437</v>
      </c>
      <c r="I38" s="235">
        <f t="shared" si="5"/>
        <v>-508.140437</v>
      </c>
    </row>
    <row r="39" spans="1:9" ht="12.75">
      <c r="A39" s="237" t="s">
        <v>186</v>
      </c>
      <c r="B39" s="238" t="s">
        <v>100</v>
      </c>
      <c r="C39" s="234">
        <f aca="true" t="shared" si="7" ref="C39:D43">+C23/1000</f>
        <v>244432.128</v>
      </c>
      <c r="D39" s="234">
        <f t="shared" si="7"/>
        <v>250051.427</v>
      </c>
      <c r="E39" s="234">
        <f t="shared" si="6"/>
        <v>5619.298999999999</v>
      </c>
      <c r="F39" s="270">
        <f t="shared" si="3"/>
        <v>0.022989199684912087</v>
      </c>
      <c r="H39" s="234">
        <f t="shared" si="4"/>
        <v>250054.06694399996</v>
      </c>
      <c r="I39" s="234">
        <f t="shared" si="5"/>
        <v>-2.639943999965908</v>
      </c>
    </row>
    <row r="40" spans="1:9" ht="12.75">
      <c r="A40" s="239" t="s">
        <v>205</v>
      </c>
      <c r="B40" s="240" t="s">
        <v>100</v>
      </c>
      <c r="C40" s="235">
        <f t="shared" si="7"/>
        <v>80809.64</v>
      </c>
      <c r="D40" s="235">
        <f t="shared" si="7"/>
        <v>78307.252</v>
      </c>
      <c r="E40" s="235">
        <f t="shared" si="6"/>
        <v>-2502.3880000000063</v>
      </c>
      <c r="F40" s="269">
        <f t="shared" si="3"/>
        <v>-0.03096645400227005</v>
      </c>
      <c r="H40" s="235">
        <f t="shared" si="4"/>
        <v>82668.26172</v>
      </c>
      <c r="I40" s="235">
        <f t="shared" si="5"/>
        <v>-4361.009720000002</v>
      </c>
    </row>
    <row r="41" spans="1:9" ht="12.75">
      <c r="A41" s="239" t="s">
        <v>206</v>
      </c>
      <c r="B41" s="240" t="s">
        <v>100</v>
      </c>
      <c r="C41" s="235">
        <f t="shared" si="7"/>
        <v>96156.863</v>
      </c>
      <c r="D41" s="235">
        <f t="shared" si="7"/>
        <v>99239.573</v>
      </c>
      <c r="E41" s="235">
        <f t="shared" si="6"/>
        <v>3082.7100000000064</v>
      </c>
      <c r="F41" s="269">
        <f t="shared" si="3"/>
        <v>0.0320591781368742</v>
      </c>
      <c r="H41" s="235">
        <f t="shared" si="4"/>
        <v>98368.47084899999</v>
      </c>
      <c r="I41" s="235">
        <f t="shared" si="5"/>
        <v>871.1021510000137</v>
      </c>
    </row>
    <row r="42" spans="1:9" ht="12.75">
      <c r="A42" s="237" t="s">
        <v>207</v>
      </c>
      <c r="B42" s="238" t="s">
        <v>100</v>
      </c>
      <c r="C42" s="234">
        <f t="shared" si="7"/>
        <v>111617.011</v>
      </c>
      <c r="D42" s="234">
        <f>+D26/1000</f>
        <v>110285.499</v>
      </c>
      <c r="E42" s="234">
        <f t="shared" si="6"/>
        <v>-1331.5120000000024</v>
      </c>
      <c r="F42" s="270">
        <f t="shared" si="3"/>
        <v>-0.011929292749113363</v>
      </c>
      <c r="H42" s="234">
        <f t="shared" si="4"/>
        <v>114184.20225299998</v>
      </c>
      <c r="I42" s="234">
        <f t="shared" si="5"/>
        <v>-3898.703252999985</v>
      </c>
    </row>
    <row r="43" spans="1:9" ht="12.75">
      <c r="A43" s="237" t="s">
        <v>208</v>
      </c>
      <c r="B43" s="238" t="s">
        <v>100</v>
      </c>
      <c r="C43" s="234">
        <f t="shared" si="7"/>
        <v>132815.118</v>
      </c>
      <c r="D43" s="234">
        <f>+D27/1000</f>
        <v>139765.928</v>
      </c>
      <c r="E43" s="234">
        <f t="shared" si="6"/>
        <v>6950.810000000027</v>
      </c>
      <c r="F43" s="270">
        <f t="shared" si="3"/>
        <v>0.05233447897098609</v>
      </c>
      <c r="H43" s="234">
        <f t="shared" si="4"/>
        <v>135869.86571399999</v>
      </c>
      <c r="I43" s="234">
        <f t="shared" si="5"/>
        <v>3896.0622860000294</v>
      </c>
    </row>
    <row r="45" spans="1:5" ht="12.75">
      <c r="A45" s="245"/>
      <c r="E45" s="267"/>
    </row>
  </sheetData>
  <sheetProtection/>
  <mergeCells count="4">
    <mergeCell ref="E2:F2"/>
    <mergeCell ref="E11:F11"/>
    <mergeCell ref="E33:F33"/>
    <mergeCell ref="A33:B33"/>
  </mergeCells>
  <printOptions/>
  <pageMargins left="0.6692913385826772" right="0.4724409448818898" top="0.4724409448818898" bottom="0.15748031496062992" header="0.2755905511811024" footer="0.15748031496062992"/>
  <pageSetup fitToHeight="1" fitToWidth="1" horizontalDpi="1200" verticalDpi="12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3:K27"/>
  <sheetViews>
    <sheetView zoomScalePageLayoutView="0" workbookViewId="0" topLeftCell="A1">
      <selection activeCell="F39" sqref="F39"/>
    </sheetView>
  </sheetViews>
  <sheetFormatPr defaultColWidth="9.00390625" defaultRowHeight="12.75"/>
  <cols>
    <col min="1" max="1" width="8.875" style="285" customWidth="1"/>
    <col min="2" max="2" width="8.25390625" style="285" customWidth="1"/>
    <col min="3" max="6" width="8.00390625" style="285" customWidth="1"/>
    <col min="7" max="16384" width="9.125" style="285" customWidth="1"/>
  </cols>
  <sheetData>
    <row r="1" ht="45" customHeight="1"/>
    <row r="2" ht="73.5" customHeight="1"/>
    <row r="3" spans="1:10" ht="21" customHeight="1" thickBot="1">
      <c r="A3" s="478" t="s">
        <v>278</v>
      </c>
      <c r="B3" s="478"/>
      <c r="C3" s="478"/>
      <c r="D3" s="478"/>
      <c r="E3" s="478"/>
      <c r="F3" s="478"/>
      <c r="G3" s="478"/>
      <c r="H3" s="478"/>
      <c r="I3" s="478"/>
      <c r="J3" s="478"/>
    </row>
    <row r="4" spans="1:11" ht="27" customHeight="1">
      <c r="A4" s="483" t="s">
        <v>236</v>
      </c>
      <c r="B4" s="486" t="s">
        <v>235</v>
      </c>
      <c r="C4" s="489" t="s">
        <v>234</v>
      </c>
      <c r="D4" s="490"/>
      <c r="E4" s="489" t="s">
        <v>233</v>
      </c>
      <c r="F4" s="490"/>
      <c r="G4" s="479" t="s">
        <v>232</v>
      </c>
      <c r="H4" s="479"/>
      <c r="I4" s="479"/>
      <c r="J4" s="480"/>
      <c r="K4" s="287"/>
    </row>
    <row r="5" spans="1:11" ht="35.25" customHeight="1">
      <c r="A5" s="484"/>
      <c r="B5" s="487"/>
      <c r="C5" s="491"/>
      <c r="D5" s="492"/>
      <c r="E5" s="491"/>
      <c r="F5" s="492"/>
      <c r="G5" s="481" t="s">
        <v>14</v>
      </c>
      <c r="H5" s="481"/>
      <c r="I5" s="481" t="s">
        <v>248</v>
      </c>
      <c r="J5" s="482"/>
      <c r="K5" s="287"/>
    </row>
    <row r="6" spans="1:11" ht="44.25" customHeight="1" thickBot="1">
      <c r="A6" s="485"/>
      <c r="B6" s="488"/>
      <c r="C6" s="493"/>
      <c r="D6" s="494"/>
      <c r="E6" s="493"/>
      <c r="F6" s="494"/>
      <c r="G6" s="299" t="s">
        <v>231</v>
      </c>
      <c r="H6" s="299" t="s">
        <v>230</v>
      </c>
      <c r="I6" s="299" t="s">
        <v>231</v>
      </c>
      <c r="J6" s="298" t="s">
        <v>230</v>
      </c>
      <c r="K6" s="287"/>
    </row>
    <row r="7" spans="1:11" ht="23.25" customHeight="1">
      <c r="A7" s="323" t="s">
        <v>229</v>
      </c>
      <c r="B7" s="324">
        <v>1.5</v>
      </c>
      <c r="C7" s="324">
        <v>0</v>
      </c>
      <c r="D7" s="324">
        <v>3.5</v>
      </c>
      <c r="E7" s="324">
        <v>0</v>
      </c>
      <c r="F7" s="324">
        <v>6.3</v>
      </c>
      <c r="G7" s="325" t="e">
        <f>+#REF!</f>
        <v>#REF!</v>
      </c>
      <c r="H7" s="325" t="e">
        <f>+#REF!</f>
        <v>#REF!</v>
      </c>
      <c r="I7" s="326" t="e">
        <f aca="true" t="shared" si="0" ref="I7:J10">+ROUND(G7*1.15,0)</f>
        <v>#REF!</v>
      </c>
      <c r="J7" s="327" t="e">
        <f t="shared" si="0"/>
        <v>#REF!</v>
      </c>
      <c r="K7" s="287"/>
    </row>
    <row r="8" spans="1:11" ht="23.25" customHeight="1">
      <c r="A8" s="296" t="s">
        <v>228</v>
      </c>
      <c r="B8" s="295">
        <v>3.5</v>
      </c>
      <c r="C8" s="295">
        <v>3.5</v>
      </c>
      <c r="D8" s="295">
        <v>10</v>
      </c>
      <c r="E8" s="295">
        <v>6.3</v>
      </c>
      <c r="F8" s="295">
        <v>16</v>
      </c>
      <c r="G8" s="297" t="e">
        <f>+#REF!</f>
        <v>#REF!</v>
      </c>
      <c r="H8" s="293" t="e">
        <f>+#REF!</f>
        <v>#REF!</v>
      </c>
      <c r="I8" s="292" t="e">
        <f t="shared" si="0"/>
        <v>#REF!</v>
      </c>
      <c r="J8" s="291" t="e">
        <f t="shared" si="0"/>
        <v>#REF!</v>
      </c>
      <c r="K8" s="287"/>
    </row>
    <row r="9" spans="1:11" ht="23.25" customHeight="1">
      <c r="A9" s="296" t="s">
        <v>227</v>
      </c>
      <c r="B9" s="295">
        <v>10</v>
      </c>
      <c r="C9" s="295">
        <v>10</v>
      </c>
      <c r="D9" s="295">
        <v>40</v>
      </c>
      <c r="E9" s="295">
        <v>16</v>
      </c>
      <c r="F9" s="295">
        <v>63</v>
      </c>
      <c r="G9" s="294" t="e">
        <f>+#REF!</f>
        <v>#REF!</v>
      </c>
      <c r="H9" s="293" t="e">
        <f>+#REF!</f>
        <v>#REF!</v>
      </c>
      <c r="I9" s="292" t="e">
        <f t="shared" si="0"/>
        <v>#REF!</v>
      </c>
      <c r="J9" s="291" t="e">
        <f t="shared" si="0"/>
        <v>#REF!</v>
      </c>
      <c r="K9" s="287"/>
    </row>
    <row r="10" spans="1:11" ht="23.25" customHeight="1" thickBot="1">
      <c r="A10" s="290" t="s">
        <v>226</v>
      </c>
      <c r="B10" s="289">
        <v>40</v>
      </c>
      <c r="C10" s="289">
        <v>40</v>
      </c>
      <c r="D10" s="289">
        <v>150</v>
      </c>
      <c r="E10" s="289">
        <v>63</v>
      </c>
      <c r="F10" s="289">
        <v>250</v>
      </c>
      <c r="G10" s="288" t="e">
        <f>+#REF!</f>
        <v>#REF!</v>
      </c>
      <c r="H10" s="328" t="e">
        <f>+#REF!</f>
        <v>#REF!</v>
      </c>
      <c r="I10" s="329" t="e">
        <f t="shared" si="0"/>
        <v>#REF!</v>
      </c>
      <c r="J10" s="330" t="e">
        <f t="shared" si="0"/>
        <v>#REF!</v>
      </c>
      <c r="K10" s="287"/>
    </row>
    <row r="11" ht="15">
      <c r="K11" s="287"/>
    </row>
    <row r="14" ht="18" customHeight="1">
      <c r="B14" s="286">
        <f>+'původní kalkulace'!B75</f>
        <v>0</v>
      </c>
    </row>
    <row r="15" ht="18" customHeight="1">
      <c r="B15" s="286">
        <f>+'původní kalkulace'!B76</f>
        <v>0</v>
      </c>
    </row>
    <row r="20" spans="1:8" ht="12.75">
      <c r="A20" s="300" t="str">
        <f>+A7</f>
        <v>A</v>
      </c>
      <c r="B20" s="300" t="s">
        <v>237</v>
      </c>
      <c r="G20" s="300" t="e">
        <f>+G7-#REF!</f>
        <v>#REF!</v>
      </c>
      <c r="H20" s="300" t="e">
        <f>+H7-#REF!</f>
        <v>#REF!</v>
      </c>
    </row>
    <row r="21" spans="1:8" ht="12.75">
      <c r="A21" s="300" t="str">
        <f>+A8</f>
        <v>B</v>
      </c>
      <c r="B21" s="300" t="s">
        <v>237</v>
      </c>
      <c r="G21" s="300" t="e">
        <f>+G8-#REF!</f>
        <v>#REF!</v>
      </c>
      <c r="H21" s="300" t="e">
        <f>+H8-#REF!</f>
        <v>#REF!</v>
      </c>
    </row>
    <row r="22" spans="1:8" ht="12.75">
      <c r="A22" s="300" t="str">
        <f>+A9</f>
        <v>C</v>
      </c>
      <c r="B22" s="300" t="s">
        <v>237</v>
      </c>
      <c r="G22" s="300" t="e">
        <f>+G9-#REF!</f>
        <v>#REF!</v>
      </c>
      <c r="H22" s="300" t="e">
        <f>+H9-#REF!</f>
        <v>#REF!</v>
      </c>
    </row>
    <row r="23" spans="1:8" ht="12.75">
      <c r="A23" s="300" t="str">
        <f>+A10</f>
        <v>D</v>
      </c>
      <c r="B23" s="300" t="s">
        <v>237</v>
      </c>
      <c r="G23" s="300" t="e">
        <f>+G10-#REF!</f>
        <v>#REF!</v>
      </c>
      <c r="H23" s="300" t="e">
        <f>+H10-#REF!</f>
        <v>#REF!</v>
      </c>
    </row>
    <row r="24" spans="1:8" ht="12.75">
      <c r="A24" s="300" t="e">
        <f>+#REF!</f>
        <v>#REF!</v>
      </c>
      <c r="B24" s="300" t="s">
        <v>237</v>
      </c>
      <c r="G24" s="300" t="e">
        <f>+#REF!-#REF!</f>
        <v>#REF!</v>
      </c>
      <c r="H24" s="300" t="e">
        <f>+#REF!-#REF!</f>
        <v>#REF!</v>
      </c>
    </row>
    <row r="25" ht="12.75">
      <c r="B25" s="300"/>
    </row>
    <row r="26" ht="12.75">
      <c r="B26" s="300"/>
    </row>
    <row r="27" ht="12.75">
      <c r="B27" s="300"/>
    </row>
  </sheetData>
  <sheetProtection/>
  <mergeCells count="8">
    <mergeCell ref="A3:J3"/>
    <mergeCell ref="G4:J4"/>
    <mergeCell ref="G5:H5"/>
    <mergeCell ref="I5:J5"/>
    <mergeCell ref="A4:A6"/>
    <mergeCell ref="B4:B6"/>
    <mergeCell ref="C4:D6"/>
    <mergeCell ref="E4:F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IV65536"/>
  <sheetViews>
    <sheetView showGridLines="0" zoomScale="87" zoomScaleNormal="87" zoomScalePageLayoutView="0" workbookViewId="0" topLeftCell="A29">
      <selection activeCell="K29" sqref="K29"/>
    </sheetView>
  </sheetViews>
  <sheetFormatPr defaultColWidth="12.625" defaultRowHeight="12.75"/>
  <cols>
    <col min="1" max="1" width="4.75390625" style="6" customWidth="1"/>
    <col min="2" max="2" width="14.00390625" style="6" customWidth="1"/>
    <col min="3" max="3" width="16.00390625" style="6" customWidth="1"/>
    <col min="4" max="4" width="18.75390625" style="6" customWidth="1"/>
    <col min="5" max="5" width="17.875" style="6" customWidth="1"/>
    <col min="6" max="6" width="17.125" style="6" customWidth="1"/>
    <col min="7" max="7" width="18.875" style="6" customWidth="1"/>
    <col min="8" max="9" width="14.375" style="6" bestFit="1" customWidth="1"/>
    <col min="10" max="10" width="8.00390625" style="6" customWidth="1"/>
    <col min="11" max="11" width="9.00390625" style="6" customWidth="1"/>
    <col min="12" max="12" width="8.625" style="6" customWidth="1"/>
    <col min="13" max="13" width="3.375" style="6" customWidth="1"/>
    <col min="14" max="14" width="18.875" style="6" bestFit="1" customWidth="1"/>
    <col min="15" max="15" width="14.25390625" style="6" bestFit="1" customWidth="1"/>
    <col min="16" max="16" width="14.75390625" style="6" customWidth="1"/>
    <col min="17" max="17" width="15.125" style="6" customWidth="1"/>
    <col min="18" max="18" width="12.625" style="6" customWidth="1"/>
    <col min="19" max="19" width="17.625" style="6" bestFit="1" customWidth="1"/>
    <col min="20" max="20" width="16.00390625" style="6" bestFit="1" customWidth="1"/>
    <col min="21" max="21" width="12.625" style="6" customWidth="1"/>
    <col min="22" max="22" width="20.75390625" style="6" bestFit="1" customWidth="1"/>
    <col min="23" max="26" width="12.625" style="6" customWidth="1"/>
    <col min="27" max="27" width="17.375" style="6" customWidth="1"/>
    <col min="28" max="28" width="13.875" style="6" bestFit="1" customWidth="1"/>
    <col min="29" max="16384" width="12.625" style="6" customWidth="1"/>
  </cols>
  <sheetData>
    <row r="1" spans="2:8" ht="23.25">
      <c r="B1" s="495" t="str">
        <f>zadání!B4</f>
        <v>Královéhradecká provozní, a.s.</v>
      </c>
      <c r="C1" s="495"/>
      <c r="D1" s="495"/>
      <c r="E1" s="495"/>
      <c r="F1" s="495"/>
      <c r="G1" s="495"/>
      <c r="H1" s="495"/>
    </row>
    <row r="2" ht="12.75">
      <c r="F2" s="65"/>
    </row>
    <row r="3" spans="2:9" ht="23.25">
      <c r="B3" s="64" t="s">
        <v>21</v>
      </c>
      <c r="C3" s="5"/>
      <c r="D3" s="5"/>
      <c r="E3" s="5"/>
      <c r="F3" s="5"/>
      <c r="H3" s="496">
        <v>2017</v>
      </c>
      <c r="I3" s="496"/>
    </row>
    <row r="4" spans="2:9" ht="15">
      <c r="B4" s="498" t="s">
        <v>88</v>
      </c>
      <c r="C4" s="498"/>
      <c r="D4" s="498"/>
      <c r="E4" s="498"/>
      <c r="F4" s="498"/>
      <c r="G4" s="106" t="e">
        <f>G7+G8+G15+G16</f>
        <v>#REF!</v>
      </c>
      <c r="H4" s="66" t="s">
        <v>27</v>
      </c>
      <c r="I4" s="67"/>
    </row>
    <row r="5" spans="7:8" ht="15">
      <c r="G5" s="106"/>
      <c r="H5" s="68"/>
    </row>
    <row r="6" spans="2:8" ht="15">
      <c r="B6" s="14" t="s">
        <v>22</v>
      </c>
      <c r="G6" s="106"/>
      <c r="H6" s="23"/>
    </row>
    <row r="7" spans="2:8" ht="15">
      <c r="B7" s="497" t="s">
        <v>81</v>
      </c>
      <c r="C7" s="497"/>
      <c r="D7" s="497"/>
      <c r="E7" s="497"/>
      <c r="F7" s="497"/>
      <c r="G7" s="106" t="e">
        <f>zadání!C13</f>
        <v>#REF!</v>
      </c>
      <c r="H7" s="69" t="s">
        <v>27</v>
      </c>
    </row>
    <row r="8" spans="2:9" ht="15.75">
      <c r="B8" s="497" t="s">
        <v>82</v>
      </c>
      <c r="C8" s="497"/>
      <c r="D8" s="497"/>
      <c r="E8" s="497"/>
      <c r="F8" s="497"/>
      <c r="G8" s="106" t="e">
        <f>zadání!C14</f>
        <v>#REF!</v>
      </c>
      <c r="H8" s="69" t="s">
        <v>29</v>
      </c>
      <c r="I8" s="71" t="e">
        <f>G8/G7</f>
        <v>#REF!</v>
      </c>
    </row>
    <row r="9" spans="2:8" ht="18">
      <c r="B9" s="497" t="s">
        <v>83</v>
      </c>
      <c r="C9" s="497"/>
      <c r="D9" s="497"/>
      <c r="E9" s="497"/>
      <c r="F9" s="497"/>
      <c r="G9" s="92" t="e">
        <f>zadání!C15</f>
        <v>#REF!</v>
      </c>
      <c r="H9" s="72" t="s">
        <v>36</v>
      </c>
    </row>
    <row r="10" spans="2:8" ht="15">
      <c r="B10" s="497" t="s">
        <v>74</v>
      </c>
      <c r="C10" s="497"/>
      <c r="D10" s="497"/>
      <c r="E10" s="497"/>
      <c r="F10" s="497"/>
      <c r="G10" s="184">
        <f>zadání!C16</f>
        <v>0.07554854872825038</v>
      </c>
      <c r="H10" s="23"/>
    </row>
    <row r="11" spans="2:8" ht="15">
      <c r="B11" s="497" t="s">
        <v>79</v>
      </c>
      <c r="C11" s="497"/>
      <c r="D11" s="497"/>
      <c r="E11" s="497"/>
      <c r="F11" s="497"/>
      <c r="G11" s="106" t="e">
        <f>(G7+G8)*G10</f>
        <v>#REF!</v>
      </c>
      <c r="H11" s="69" t="s">
        <v>27</v>
      </c>
    </row>
    <row r="12" spans="2:8" ht="15">
      <c r="B12" s="505" t="s">
        <v>80</v>
      </c>
      <c r="C12" s="505"/>
      <c r="D12" s="505"/>
      <c r="E12" s="505"/>
      <c r="F12" s="505"/>
      <c r="G12" s="106" t="e">
        <f>G7+G8-G11</f>
        <v>#REF!</v>
      </c>
      <c r="H12" s="69" t="s">
        <v>27</v>
      </c>
    </row>
    <row r="13" spans="2:9" ht="15.75">
      <c r="B13" s="14"/>
      <c r="C13" s="70"/>
      <c r="F13" s="70"/>
      <c r="G13" s="111"/>
      <c r="H13" s="23"/>
      <c r="I13" s="73"/>
    </row>
    <row r="14" spans="2:8" ht="15.75">
      <c r="B14" s="14" t="s">
        <v>23</v>
      </c>
      <c r="C14" s="70"/>
      <c r="F14" s="70"/>
      <c r="G14" s="111"/>
      <c r="H14" s="23"/>
    </row>
    <row r="15" spans="2:8" ht="15">
      <c r="B15" s="435" t="s">
        <v>84</v>
      </c>
      <c r="C15" s="435"/>
      <c r="D15" s="435"/>
      <c r="E15" s="435"/>
      <c r="F15" s="435"/>
      <c r="G15" s="106" t="e">
        <f>zadání!C19</f>
        <v>#REF!</v>
      </c>
      <c r="H15" s="69" t="s">
        <v>27</v>
      </c>
    </row>
    <row r="16" spans="2:9" ht="15.75">
      <c r="B16" s="435" t="s">
        <v>85</v>
      </c>
      <c r="C16" s="435"/>
      <c r="D16" s="435"/>
      <c r="E16" s="435"/>
      <c r="F16" s="435"/>
      <c r="G16" s="106" t="e">
        <f>zadání!C20</f>
        <v>#REF!</v>
      </c>
      <c r="H16" s="69" t="s">
        <v>29</v>
      </c>
      <c r="I16" s="71" t="e">
        <f>G16/G15</f>
        <v>#REF!</v>
      </c>
    </row>
    <row r="17" spans="2:8" ht="18">
      <c r="B17" s="435" t="s">
        <v>76</v>
      </c>
      <c r="C17" s="435"/>
      <c r="D17" s="435"/>
      <c r="E17" s="435"/>
      <c r="F17" s="435"/>
      <c r="G17" s="92" t="e">
        <f>zadání!C21</f>
        <v>#REF!</v>
      </c>
      <c r="H17" s="72" t="s">
        <v>36</v>
      </c>
    </row>
    <row r="18" spans="2:8" ht="15">
      <c r="B18" s="497" t="s">
        <v>75</v>
      </c>
      <c r="C18" s="497"/>
      <c r="D18" s="497"/>
      <c r="E18" s="497"/>
      <c r="F18" s="497"/>
      <c r="G18" s="184">
        <f>zadání!C23</f>
        <v>0.05462742681704867</v>
      </c>
      <c r="H18" s="23"/>
    </row>
    <row r="19" spans="2:9" ht="15">
      <c r="B19" s="505" t="s">
        <v>86</v>
      </c>
      <c r="C19" s="505"/>
      <c r="D19" s="505"/>
      <c r="E19" s="505"/>
      <c r="F19" s="505"/>
      <c r="G19" s="106" t="e">
        <f>(G15+G16)*G18</f>
        <v>#REF!</v>
      </c>
      <c r="H19" s="69" t="s">
        <v>27</v>
      </c>
      <c r="I19" s="167"/>
    </row>
    <row r="20" spans="2:9" ht="15">
      <c r="B20" s="505" t="s">
        <v>87</v>
      </c>
      <c r="C20" s="505"/>
      <c r="D20" s="505"/>
      <c r="E20" s="505"/>
      <c r="F20" s="505"/>
      <c r="G20" s="106" t="e">
        <f>G15+G16-G19</f>
        <v>#REF!</v>
      </c>
      <c r="H20" s="69" t="s">
        <v>27</v>
      </c>
      <c r="I20" s="167"/>
    </row>
    <row r="21" spans="5:10" ht="24" customHeight="1">
      <c r="E21" s="5"/>
      <c r="G21" s="74"/>
      <c r="H21" s="73"/>
      <c r="I21" s="503" t="s">
        <v>89</v>
      </c>
      <c r="J21" s="504"/>
    </row>
    <row r="22" spans="3:10" ht="18.75">
      <c r="C22" s="75" t="s">
        <v>24</v>
      </c>
      <c r="D22" s="50"/>
      <c r="E22" s="50"/>
      <c r="F22" s="50" t="s">
        <v>6</v>
      </c>
      <c r="G22" s="51" t="e">
        <f>ROUND(G12/G9,2)</f>
        <v>#REF!</v>
      </c>
      <c r="H22" s="76" t="s">
        <v>17</v>
      </c>
      <c r="I22" s="193" t="e">
        <f>jednosložkové!G11</f>
        <v>#REF!</v>
      </c>
      <c r="J22" s="194" t="s">
        <v>1</v>
      </c>
    </row>
    <row r="23" spans="2:10" ht="15">
      <c r="B23" s="5"/>
      <c r="C23" s="5"/>
      <c r="D23" s="5"/>
      <c r="E23" s="5"/>
      <c r="F23" s="5"/>
      <c r="G23" s="50"/>
      <c r="H23" s="77"/>
      <c r="I23" s="195"/>
      <c r="J23" s="196"/>
    </row>
    <row r="24" spans="3:11" ht="18.75">
      <c r="C24" s="75" t="s">
        <v>25</v>
      </c>
      <c r="D24" s="50"/>
      <c r="F24" s="6" t="s">
        <v>6</v>
      </c>
      <c r="G24" s="51" t="e">
        <f>ROUND(G20/G17,2)</f>
        <v>#REF!</v>
      </c>
      <c r="H24" s="76" t="s">
        <v>17</v>
      </c>
      <c r="I24" s="193" t="e">
        <f>jednosložkové!G20</f>
        <v>#REF!</v>
      </c>
      <c r="J24" s="194" t="s">
        <v>1</v>
      </c>
      <c r="K24" s="67"/>
    </row>
    <row r="25" spans="2:11" ht="15">
      <c r="B25" s="78"/>
      <c r="C25" s="78"/>
      <c r="D25" s="78"/>
      <c r="E25" s="79"/>
      <c r="F25" s="79"/>
      <c r="G25" s="79"/>
      <c r="H25" s="78"/>
      <c r="I25" s="198"/>
      <c r="J25" s="197"/>
      <c r="K25" s="67"/>
    </row>
    <row r="26" spans="4:11" ht="18.75">
      <c r="D26" s="80" t="s">
        <v>53</v>
      </c>
      <c r="F26" s="6" t="s">
        <v>6</v>
      </c>
      <c r="G26" s="51" t="e">
        <f>G22+G24</f>
        <v>#REF!</v>
      </c>
      <c r="H26" s="76" t="s">
        <v>17</v>
      </c>
      <c r="I26" s="193" t="e">
        <f>I22+I24</f>
        <v>#REF!</v>
      </c>
      <c r="J26" s="194" t="s">
        <v>1</v>
      </c>
      <c r="K26" s="67"/>
    </row>
    <row r="27" spans="5:11" ht="15">
      <c r="E27" s="5"/>
      <c r="K27" s="67"/>
    </row>
    <row r="28" spans="10:20" ht="18" customHeight="1" thickBot="1">
      <c r="J28" s="199"/>
      <c r="T28" s="14"/>
    </row>
    <row r="29" spans="1:20" ht="18" customHeight="1" thickBot="1">
      <c r="A29" s="507" t="s">
        <v>95</v>
      </c>
      <c r="B29" s="507"/>
      <c r="C29" s="507"/>
      <c r="D29" s="507"/>
      <c r="E29" s="507"/>
      <c r="F29" s="507"/>
      <c r="G29" s="507"/>
      <c r="H29" s="507"/>
      <c r="I29" s="201">
        <f>IF(I30&gt;30,"&gt; 30 !!",IF(I31&gt;30,"&gt; 30 !!",""))</f>
      </c>
      <c r="J29" s="81" t="s">
        <v>7</v>
      </c>
      <c r="K29" s="102">
        <v>0</v>
      </c>
      <c r="L29" s="202" t="e">
        <f>IF(K29&gt;=D34,"k &gt; S1 !!","")</f>
        <v>#REF!</v>
      </c>
      <c r="T29" s="14"/>
    </row>
    <row r="30" spans="1:20" ht="18" customHeight="1" thickBot="1">
      <c r="A30" s="499" t="s">
        <v>51</v>
      </c>
      <c r="B30" s="49"/>
      <c r="C30" s="50"/>
      <c r="D30" s="50"/>
      <c r="E30" s="82" t="s">
        <v>6</v>
      </c>
      <c r="F30" s="501" t="s">
        <v>72</v>
      </c>
      <c r="G30" s="501"/>
      <c r="H30" s="502"/>
      <c r="I30" s="129">
        <v>30</v>
      </c>
      <c r="J30" s="81" t="s">
        <v>44</v>
      </c>
      <c r="K30" s="102" t="e">
        <f>K29*jednosložkové!G20/jednosložkové!G11</f>
        <v>#REF!</v>
      </c>
      <c r="L30" s="202" t="e">
        <f>IF(K30&gt;=E34,"k &gt; S1 !!","")</f>
        <v>#REF!</v>
      </c>
      <c r="N30" s="55" t="s">
        <v>65</v>
      </c>
      <c r="O30" s="123" t="s">
        <v>71</v>
      </c>
      <c r="P30" s="114"/>
      <c r="T30" s="14"/>
    </row>
    <row r="31" spans="1:20" ht="18.75" thickBot="1">
      <c r="A31" s="499"/>
      <c r="B31" s="5"/>
      <c r="C31" s="83"/>
      <c r="F31" s="501" t="s">
        <v>73</v>
      </c>
      <c r="G31" s="501"/>
      <c r="H31" s="502"/>
      <c r="I31" s="129">
        <v>30</v>
      </c>
      <c r="J31" s="84" t="s">
        <v>8</v>
      </c>
      <c r="K31" s="190" t="e">
        <f>(D34-K29)/B34^K33</f>
        <v>#REF!</v>
      </c>
      <c r="N31" s="82" t="s">
        <v>63</v>
      </c>
      <c r="O31" s="123" t="s">
        <v>70</v>
      </c>
      <c r="P31" s="82"/>
      <c r="T31" s="14"/>
    </row>
    <row r="32" spans="1:23" ht="19.5">
      <c r="A32" s="499"/>
      <c r="B32" s="513" t="s">
        <v>3</v>
      </c>
      <c r="C32" s="514"/>
      <c r="D32" s="515" t="s">
        <v>45</v>
      </c>
      <c r="E32" s="513"/>
      <c r="F32" s="516"/>
      <c r="G32" s="510" t="s">
        <v>35</v>
      </c>
      <c r="H32" s="511"/>
      <c r="I32" s="511"/>
      <c r="J32" s="85" t="s">
        <v>9</v>
      </c>
      <c r="K32" s="191" t="e">
        <f>(E34-K30)/B34^K34</f>
        <v>#REF!</v>
      </c>
      <c r="N32" s="114" t="s">
        <v>62</v>
      </c>
      <c r="O32" s="123" t="s">
        <v>69</v>
      </c>
      <c r="P32" s="89"/>
      <c r="Q32" s="86"/>
      <c r="S32" s="105" t="s">
        <v>47</v>
      </c>
      <c r="T32" s="112"/>
      <c r="V32" s="158" t="s">
        <v>10</v>
      </c>
      <c r="W32" s="50"/>
    </row>
    <row r="33" spans="1:23" ht="21" thickBot="1">
      <c r="A33" s="500"/>
      <c r="B33" s="130" t="s">
        <v>42</v>
      </c>
      <c r="C33" s="87" t="s">
        <v>2</v>
      </c>
      <c r="D33" s="128" t="s">
        <v>4</v>
      </c>
      <c r="E33" s="127" t="s">
        <v>5</v>
      </c>
      <c r="F33" s="88" t="s">
        <v>31</v>
      </c>
      <c r="G33" s="125" t="s">
        <v>4</v>
      </c>
      <c r="H33" s="126" t="s">
        <v>5</v>
      </c>
      <c r="I33" s="168" t="s">
        <v>31</v>
      </c>
      <c r="J33" s="186" t="s">
        <v>59</v>
      </c>
      <c r="K33" s="187">
        <v>0.850000000000004</v>
      </c>
      <c r="L33" s="131"/>
      <c r="N33" s="113" t="s">
        <v>64</v>
      </c>
      <c r="O33" s="124" t="s">
        <v>90</v>
      </c>
      <c r="P33" s="89"/>
      <c r="Q33" s="90"/>
      <c r="S33" s="155" t="s">
        <v>48</v>
      </c>
      <c r="T33" s="155" t="s">
        <v>49</v>
      </c>
      <c r="U33" s="155" t="s">
        <v>50</v>
      </c>
      <c r="V33" s="91" t="e">
        <f>$G$11-$G$112</f>
        <v>#REF!</v>
      </c>
      <c r="W33" s="5" t="s">
        <v>11</v>
      </c>
    </row>
    <row r="34" spans="1:23" ht="18" customHeight="1" thickTop="1">
      <c r="A34" s="133" t="s">
        <v>46</v>
      </c>
      <c r="B34" s="159">
        <v>1.5</v>
      </c>
      <c r="C34" s="2">
        <v>18000</v>
      </c>
      <c r="D34" s="185" t="e">
        <f>+#REF!</f>
        <v>#REF!</v>
      </c>
      <c r="E34" s="185" t="e">
        <f>+#REF!</f>
        <v>#REF!</v>
      </c>
      <c r="F34" s="106" t="e">
        <f>ROUND(D34,0)+ROUND(E34,0)</f>
        <v>#REF!</v>
      </c>
      <c r="G34" s="107" t="e">
        <f>C34*D34</f>
        <v>#REF!</v>
      </c>
      <c r="H34" s="108" t="e">
        <f>C34*E34</f>
        <v>#REF!</v>
      </c>
      <c r="I34" s="110" t="e">
        <f>ROUND(G34,0)+ROUND(H34,0)</f>
        <v>#REF!</v>
      </c>
      <c r="J34" s="188" t="s">
        <v>60</v>
      </c>
      <c r="K34" s="187">
        <v>0.8500000000000035</v>
      </c>
      <c r="L34" s="131"/>
      <c r="N34" s="146" t="e">
        <f>F34/(jednosložkové!$G$25-$G$26)</f>
        <v>#REF!</v>
      </c>
      <c r="O34" s="106" t="e">
        <f>N34*jednosložkové!$G$25</f>
        <v>#REF!</v>
      </c>
      <c r="P34" s="122"/>
      <c r="Q34" s="93"/>
      <c r="S34" s="147">
        <f>B34</f>
        <v>1.5</v>
      </c>
      <c r="T34" s="148" t="e">
        <f>D34</f>
        <v>#REF!</v>
      </c>
      <c r="U34" s="103" t="e">
        <f>E34</f>
        <v>#REF!</v>
      </c>
      <c r="V34" s="94" t="e">
        <f>$G$19-$H$112-D125</f>
        <v>#REF!</v>
      </c>
      <c r="W34" s="95" t="s">
        <v>12</v>
      </c>
    </row>
    <row r="35" spans="1:21" ht="15.75">
      <c r="A35" s="133" t="s">
        <v>11</v>
      </c>
      <c r="B35" s="159">
        <v>1.5</v>
      </c>
      <c r="C35" s="2">
        <v>15100</v>
      </c>
      <c r="D35" s="109" t="e">
        <f>D34</f>
        <v>#REF!</v>
      </c>
      <c r="E35" s="109"/>
      <c r="F35" s="106" t="e">
        <f aca="true" t="shared" si="0" ref="F35:F96">ROUND(D35,0)+ROUND(E35,0)</f>
        <v>#REF!</v>
      </c>
      <c r="G35" s="107" t="e">
        <f>C35*D35</f>
        <v>#REF!</v>
      </c>
      <c r="H35" s="108"/>
      <c r="I35" s="110" t="e">
        <f aca="true" t="shared" si="1" ref="I35:I96">ROUND(G35,0)+ROUND(H35,0)</f>
        <v>#REF!</v>
      </c>
      <c r="J35" s="508" t="s">
        <v>68</v>
      </c>
      <c r="K35" s="509"/>
      <c r="M35" s="50"/>
      <c r="N35" s="149"/>
      <c r="O35" s="106"/>
      <c r="P35" s="122"/>
      <c r="Q35" s="90"/>
      <c r="S35" s="147">
        <f>B37</f>
        <v>2.5</v>
      </c>
      <c r="T35" s="148" t="e">
        <f>D37</f>
        <v>#REF!</v>
      </c>
      <c r="U35" s="103" t="e">
        <f>E37</f>
        <v>#REF!</v>
      </c>
    </row>
    <row r="36" spans="1:21" ht="15.75">
      <c r="A36" s="134" t="s">
        <v>12</v>
      </c>
      <c r="B36" s="159">
        <v>1.5</v>
      </c>
      <c r="C36" s="2">
        <v>530</v>
      </c>
      <c r="D36" s="136"/>
      <c r="E36" s="136" t="e">
        <f>E34</f>
        <v>#REF!</v>
      </c>
      <c r="F36" s="137" t="e">
        <f t="shared" si="0"/>
        <v>#REF!</v>
      </c>
      <c r="G36" s="138"/>
      <c r="H36" s="139" t="e">
        <f aca="true" t="shared" si="2" ref="H36:H61">C36*E36</f>
        <v>#REF!</v>
      </c>
      <c r="I36" s="140" t="e">
        <f t="shared" si="1"/>
        <v>#REF!</v>
      </c>
      <c r="J36" s="203" t="s">
        <v>66</v>
      </c>
      <c r="K36" s="204" t="e">
        <f>V33</f>
        <v>#REF!</v>
      </c>
      <c r="M36" s="50"/>
      <c r="N36" s="150"/>
      <c r="O36" s="137"/>
      <c r="P36" s="122"/>
      <c r="Q36" s="90"/>
      <c r="S36" s="147">
        <f>B40</f>
        <v>3</v>
      </c>
      <c r="T36" s="148" t="e">
        <f>D40</f>
        <v>#REF!</v>
      </c>
      <c r="U36" s="148" t="e">
        <f>E40</f>
        <v>#REF!</v>
      </c>
    </row>
    <row r="37" spans="1:21" ht="15.75">
      <c r="A37" s="133" t="s">
        <v>46</v>
      </c>
      <c r="B37" s="159">
        <v>2.5</v>
      </c>
      <c r="C37" s="2"/>
      <c r="D37" s="109" t="e">
        <f>$K$29+$K$31*B37^$K$33</f>
        <v>#REF!</v>
      </c>
      <c r="E37" s="109" t="e">
        <f aca="true" t="shared" si="3" ref="E37:E61">$K$30+$K$32*B37^$K$34</f>
        <v>#REF!</v>
      </c>
      <c r="F37" s="106" t="e">
        <f t="shared" si="0"/>
        <v>#REF!</v>
      </c>
      <c r="G37" s="107" t="e">
        <f aca="true" t="shared" si="4" ref="G37:G95">C37*D37</f>
        <v>#REF!</v>
      </c>
      <c r="H37" s="108" t="e">
        <f t="shared" si="2"/>
        <v>#REF!</v>
      </c>
      <c r="I37" s="110" t="e">
        <f t="shared" si="1"/>
        <v>#REF!</v>
      </c>
      <c r="J37" s="205" t="s">
        <v>67</v>
      </c>
      <c r="K37" s="206" t="e">
        <f>V34</f>
        <v>#REF!</v>
      </c>
      <c r="M37" s="50"/>
      <c r="N37" s="156" t="e">
        <f>F37/(jednosložkové!$G$25-$G$26)</f>
        <v>#REF!</v>
      </c>
      <c r="O37" s="157" t="e">
        <f>N37*jednosložkové!$G$25</f>
        <v>#REF!</v>
      </c>
      <c r="P37" s="122"/>
      <c r="Q37" s="90"/>
      <c r="S37" s="147">
        <f>B43</f>
        <v>3.5</v>
      </c>
      <c r="T37" s="106" t="e">
        <f>D43</f>
        <v>#REF!</v>
      </c>
      <c r="U37" s="106" t="e">
        <f>E43</f>
        <v>#REF!</v>
      </c>
    </row>
    <row r="38" spans="1:21" ht="15.75">
      <c r="A38" s="133" t="s">
        <v>11</v>
      </c>
      <c r="B38" s="159">
        <v>2.5</v>
      </c>
      <c r="C38" s="2"/>
      <c r="D38" s="109" t="e">
        <f aca="true" t="shared" si="5" ref="D38:D95">$K$29+$K$31*B38^$K$33</f>
        <v>#REF!</v>
      </c>
      <c r="E38" s="109"/>
      <c r="F38" s="106" t="e">
        <f t="shared" si="0"/>
        <v>#REF!</v>
      </c>
      <c r="G38" s="107" t="e">
        <f t="shared" si="4"/>
        <v>#REF!</v>
      </c>
      <c r="H38" s="108"/>
      <c r="I38" s="110" t="e">
        <f t="shared" si="1"/>
        <v>#REF!</v>
      </c>
      <c r="J38" s="50"/>
      <c r="K38" s="50"/>
      <c r="M38" s="50"/>
      <c r="N38" s="149"/>
      <c r="O38" s="106"/>
      <c r="P38" s="122"/>
      <c r="Q38" s="90"/>
      <c r="S38" s="147">
        <f>B46</f>
        <v>5</v>
      </c>
      <c r="T38" s="106" t="e">
        <f>D46</f>
        <v>#REF!</v>
      </c>
      <c r="U38" s="106" t="e">
        <f>E46</f>
        <v>#REF!</v>
      </c>
    </row>
    <row r="39" spans="1:21" ht="15.75" customHeight="1">
      <c r="A39" s="134" t="s">
        <v>12</v>
      </c>
      <c r="B39" s="160">
        <v>2.5</v>
      </c>
      <c r="C39" s="135"/>
      <c r="D39" s="136"/>
      <c r="E39" s="136" t="e">
        <f t="shared" si="3"/>
        <v>#REF!</v>
      </c>
      <c r="F39" s="137" t="e">
        <f t="shared" si="0"/>
        <v>#REF!</v>
      </c>
      <c r="G39" s="138"/>
      <c r="H39" s="139" t="e">
        <f t="shared" si="2"/>
        <v>#REF!</v>
      </c>
      <c r="I39" s="140" t="e">
        <f t="shared" si="1"/>
        <v>#REF!</v>
      </c>
      <c r="J39" s="512" t="s">
        <v>0</v>
      </c>
      <c r="K39" s="512"/>
      <c r="L39" s="512"/>
      <c r="M39" s="50"/>
      <c r="N39" s="150"/>
      <c r="O39" s="137"/>
      <c r="P39" s="122"/>
      <c r="Q39" s="90"/>
      <c r="S39" s="147">
        <f>B49</f>
        <v>6</v>
      </c>
      <c r="T39" s="106" t="e">
        <f>D49</f>
        <v>#REF!</v>
      </c>
      <c r="U39" s="106" t="e">
        <f>E49</f>
        <v>#REF!</v>
      </c>
    </row>
    <row r="40" spans="1:21" ht="18">
      <c r="A40" s="133" t="s">
        <v>46</v>
      </c>
      <c r="B40" s="159">
        <v>3</v>
      </c>
      <c r="C40" s="2"/>
      <c r="D40" s="109" t="e">
        <f t="shared" si="5"/>
        <v>#REF!</v>
      </c>
      <c r="E40" s="109" t="e">
        <f t="shared" si="3"/>
        <v>#REF!</v>
      </c>
      <c r="F40" s="106" t="e">
        <f t="shared" si="0"/>
        <v>#REF!</v>
      </c>
      <c r="G40" s="107" t="e">
        <f>C40*D40</f>
        <v>#REF!</v>
      </c>
      <c r="H40" s="108" t="e">
        <f>C40*E40</f>
        <v>#REF!</v>
      </c>
      <c r="I40" s="110" t="e">
        <f t="shared" si="1"/>
        <v>#REF!</v>
      </c>
      <c r="K40" s="200"/>
      <c r="L40" s="200"/>
      <c r="M40" s="50"/>
      <c r="N40" s="156" t="e">
        <f>F40/(jednosložkové!$G$25-$G$26)</f>
        <v>#REF!</v>
      </c>
      <c r="O40" s="157" t="e">
        <f>N40*jednosložkové!$G$25</f>
        <v>#REF!</v>
      </c>
      <c r="P40" s="122"/>
      <c r="Q40" s="90"/>
      <c r="S40" s="147">
        <f>B52</f>
        <v>7</v>
      </c>
      <c r="T40" s="148" t="e">
        <f>D52</f>
        <v>#REF!</v>
      </c>
      <c r="U40" s="148" t="e">
        <f>E52</f>
        <v>#REF!</v>
      </c>
    </row>
    <row r="41" spans="1:21" ht="15.75">
      <c r="A41" s="133" t="s">
        <v>11</v>
      </c>
      <c r="B41" s="159">
        <v>3</v>
      </c>
      <c r="C41" s="2"/>
      <c r="D41" s="109" t="e">
        <f t="shared" si="5"/>
        <v>#REF!</v>
      </c>
      <c r="E41" s="109"/>
      <c r="F41" s="106" t="e">
        <f t="shared" si="0"/>
        <v>#REF!</v>
      </c>
      <c r="G41" s="107" t="e">
        <f t="shared" si="4"/>
        <v>#REF!</v>
      </c>
      <c r="H41" s="108"/>
      <c r="I41" s="110" t="e">
        <f t="shared" si="1"/>
        <v>#REF!</v>
      </c>
      <c r="J41" s="50"/>
      <c r="K41" s="50"/>
      <c r="M41" s="50"/>
      <c r="N41" s="149"/>
      <c r="O41" s="106"/>
      <c r="P41" s="122"/>
      <c r="Q41" s="90"/>
      <c r="S41" s="147">
        <f>B55</f>
        <v>10</v>
      </c>
      <c r="T41" s="148" t="e">
        <f>D55</f>
        <v>#REF!</v>
      </c>
      <c r="U41" s="148" t="e">
        <f>E55</f>
        <v>#REF!</v>
      </c>
    </row>
    <row r="42" spans="1:21" ht="15.75">
      <c r="A42" s="134" t="s">
        <v>12</v>
      </c>
      <c r="B42" s="160">
        <v>3</v>
      </c>
      <c r="C42" s="135"/>
      <c r="D42" s="136"/>
      <c r="E42" s="136" t="e">
        <f t="shared" si="3"/>
        <v>#REF!</v>
      </c>
      <c r="F42" s="137" t="e">
        <f t="shared" si="0"/>
        <v>#REF!</v>
      </c>
      <c r="G42" s="138"/>
      <c r="H42" s="139" t="e">
        <f t="shared" si="2"/>
        <v>#REF!</v>
      </c>
      <c r="I42" s="140" t="e">
        <f t="shared" si="1"/>
        <v>#REF!</v>
      </c>
      <c r="J42" s="50"/>
      <c r="K42" s="50"/>
      <c r="M42" s="50"/>
      <c r="N42" s="150"/>
      <c r="O42" s="137"/>
      <c r="P42" s="122"/>
      <c r="Q42" s="90"/>
      <c r="S42" s="147">
        <f>B58</f>
        <v>15</v>
      </c>
      <c r="T42" s="148" t="e">
        <f>D58</f>
        <v>#REF!</v>
      </c>
      <c r="U42" s="148" t="e">
        <f>E58</f>
        <v>#REF!</v>
      </c>
    </row>
    <row r="43" spans="1:21" ht="15.75">
      <c r="A43" s="133" t="s">
        <v>46</v>
      </c>
      <c r="B43" s="159">
        <v>3.5</v>
      </c>
      <c r="C43" s="2">
        <v>905</v>
      </c>
      <c r="D43" s="109" t="e">
        <f t="shared" si="5"/>
        <v>#REF!</v>
      </c>
      <c r="E43" s="109" t="e">
        <f t="shared" si="3"/>
        <v>#REF!</v>
      </c>
      <c r="F43" s="106" t="e">
        <f t="shared" si="0"/>
        <v>#REF!</v>
      </c>
      <c r="G43" s="107" t="e">
        <f t="shared" si="4"/>
        <v>#REF!</v>
      </c>
      <c r="H43" s="108" t="e">
        <f t="shared" si="2"/>
        <v>#REF!</v>
      </c>
      <c r="I43" s="110" t="e">
        <f t="shared" si="1"/>
        <v>#REF!</v>
      </c>
      <c r="J43" s="50"/>
      <c r="K43" s="50"/>
      <c r="M43" s="50"/>
      <c r="N43" s="156" t="e">
        <f>F43/(jednosložkové!$G$25-$G$26)</f>
        <v>#REF!</v>
      </c>
      <c r="O43" s="157" t="e">
        <f>N43*jednosložkové!$G$25</f>
        <v>#REF!</v>
      </c>
      <c r="P43" s="122"/>
      <c r="Q43" s="90"/>
      <c r="S43" s="147">
        <f>B61</f>
        <v>20</v>
      </c>
      <c r="T43" s="148" t="e">
        <f>D61</f>
        <v>#REF!</v>
      </c>
      <c r="U43" s="148" t="e">
        <f>E61</f>
        <v>#REF!</v>
      </c>
    </row>
    <row r="44" spans="1:21" ht="15.75">
      <c r="A44" s="133" t="s">
        <v>11</v>
      </c>
      <c r="B44" s="159">
        <v>3.5</v>
      </c>
      <c r="C44" s="2">
        <v>220</v>
      </c>
      <c r="D44" s="109" t="e">
        <f t="shared" si="5"/>
        <v>#REF!</v>
      </c>
      <c r="E44" s="109"/>
      <c r="F44" s="106" t="e">
        <f t="shared" si="0"/>
        <v>#REF!</v>
      </c>
      <c r="G44" s="107" t="e">
        <f t="shared" si="4"/>
        <v>#REF!</v>
      </c>
      <c r="H44" s="108"/>
      <c r="I44" s="110" t="e">
        <f t="shared" si="1"/>
        <v>#REF!</v>
      </c>
      <c r="J44" s="50"/>
      <c r="K44" s="50"/>
      <c r="M44" s="50"/>
      <c r="N44" s="149"/>
      <c r="O44" s="106"/>
      <c r="P44" s="122"/>
      <c r="Q44" s="90"/>
      <c r="S44" s="147">
        <f>B64</f>
        <v>25</v>
      </c>
      <c r="T44" s="148" t="e">
        <f>D64</f>
        <v>#REF!</v>
      </c>
      <c r="U44" s="148" t="e">
        <f>E64</f>
        <v>#REF!</v>
      </c>
    </row>
    <row r="45" spans="1:21" ht="15.75">
      <c r="A45" s="134" t="s">
        <v>12</v>
      </c>
      <c r="B45" s="160">
        <v>3.5</v>
      </c>
      <c r="C45" s="2">
        <v>1</v>
      </c>
      <c r="D45" s="136"/>
      <c r="E45" s="136" t="e">
        <f t="shared" si="3"/>
        <v>#REF!</v>
      </c>
      <c r="F45" s="137" t="e">
        <f t="shared" si="0"/>
        <v>#REF!</v>
      </c>
      <c r="G45" s="138"/>
      <c r="H45" s="139" t="e">
        <f t="shared" si="2"/>
        <v>#REF!</v>
      </c>
      <c r="I45" s="140" t="e">
        <f t="shared" si="1"/>
        <v>#REF!</v>
      </c>
      <c r="J45" s="50"/>
      <c r="K45" s="50"/>
      <c r="M45" s="50"/>
      <c r="N45" s="150"/>
      <c r="O45" s="137"/>
      <c r="P45" s="122"/>
      <c r="Q45" s="90"/>
      <c r="S45" s="147">
        <f>B67</f>
        <v>30</v>
      </c>
      <c r="T45" s="148" t="e">
        <f>D67</f>
        <v>#REF!</v>
      </c>
      <c r="U45" s="148" t="e">
        <f>E67</f>
        <v>#REF!</v>
      </c>
    </row>
    <row r="46" spans="1:21" ht="15.75">
      <c r="A46" s="133" t="s">
        <v>46</v>
      </c>
      <c r="B46" s="161">
        <v>5</v>
      </c>
      <c r="C46" s="2"/>
      <c r="D46" s="109" t="e">
        <f t="shared" si="5"/>
        <v>#REF!</v>
      </c>
      <c r="E46" s="109" t="e">
        <f t="shared" si="3"/>
        <v>#REF!</v>
      </c>
      <c r="F46" s="106" t="e">
        <f t="shared" si="0"/>
        <v>#REF!</v>
      </c>
      <c r="G46" s="107" t="e">
        <f t="shared" si="4"/>
        <v>#REF!</v>
      </c>
      <c r="H46" s="108" t="e">
        <f t="shared" si="2"/>
        <v>#REF!</v>
      </c>
      <c r="I46" s="110" t="e">
        <f t="shared" si="1"/>
        <v>#REF!</v>
      </c>
      <c r="J46" s="50"/>
      <c r="K46" s="50"/>
      <c r="M46" s="50"/>
      <c r="N46" s="156" t="e">
        <f>F46/(jednosložkové!$G$25-$G$26)</f>
        <v>#REF!</v>
      </c>
      <c r="O46" s="157" t="e">
        <f>N46*jednosložkové!$G$25</f>
        <v>#REF!</v>
      </c>
      <c r="P46" s="122"/>
      <c r="Q46" s="90"/>
      <c r="S46" s="147">
        <f>B70</f>
        <v>35</v>
      </c>
      <c r="T46" s="148" t="e">
        <f>D70</f>
        <v>#REF!</v>
      </c>
      <c r="U46" s="148" t="e">
        <f>E70</f>
        <v>#REF!</v>
      </c>
    </row>
    <row r="47" spans="1:21" ht="15.75">
      <c r="A47" s="133" t="s">
        <v>11</v>
      </c>
      <c r="B47" s="161">
        <v>5</v>
      </c>
      <c r="C47" s="2"/>
      <c r="D47" s="109" t="e">
        <f t="shared" si="5"/>
        <v>#REF!</v>
      </c>
      <c r="E47" s="109"/>
      <c r="F47" s="106" t="e">
        <f t="shared" si="0"/>
        <v>#REF!</v>
      </c>
      <c r="G47" s="107" t="e">
        <f t="shared" si="4"/>
        <v>#REF!</v>
      </c>
      <c r="H47" s="108"/>
      <c r="I47" s="110" t="e">
        <f t="shared" si="1"/>
        <v>#REF!</v>
      </c>
      <c r="J47" s="50"/>
      <c r="K47" s="50"/>
      <c r="M47" s="50"/>
      <c r="N47" s="149"/>
      <c r="O47" s="106"/>
      <c r="P47" s="122"/>
      <c r="Q47" s="90"/>
      <c r="S47" s="147">
        <f>B73</f>
        <v>40</v>
      </c>
      <c r="T47" s="148" t="e">
        <f>D73</f>
        <v>#REF!</v>
      </c>
      <c r="U47" s="148" t="e">
        <f>E73</f>
        <v>#REF!</v>
      </c>
    </row>
    <row r="48" spans="1:21" ht="15.75">
      <c r="A48" s="134" t="s">
        <v>12</v>
      </c>
      <c r="B48" s="162">
        <v>5</v>
      </c>
      <c r="C48" s="135"/>
      <c r="D48" s="136"/>
      <c r="E48" s="136" t="e">
        <f t="shared" si="3"/>
        <v>#REF!</v>
      </c>
      <c r="F48" s="137" t="e">
        <f t="shared" si="0"/>
        <v>#REF!</v>
      </c>
      <c r="G48" s="138"/>
      <c r="H48" s="139" t="e">
        <f t="shared" si="2"/>
        <v>#REF!</v>
      </c>
      <c r="I48" s="140" t="e">
        <f t="shared" si="1"/>
        <v>#REF!</v>
      </c>
      <c r="J48" s="96"/>
      <c r="K48" s="166"/>
      <c r="M48" s="50"/>
      <c r="N48" s="150"/>
      <c r="O48" s="137"/>
      <c r="P48" s="122"/>
      <c r="Q48" s="90"/>
      <c r="S48" s="147">
        <f>B76</f>
        <v>50</v>
      </c>
      <c r="T48" s="148" t="e">
        <f>D76</f>
        <v>#REF!</v>
      </c>
      <c r="U48" s="148" t="e">
        <f>E76</f>
        <v>#REF!</v>
      </c>
    </row>
    <row r="49" spans="1:21" ht="15.75">
      <c r="A49" s="133" t="s">
        <v>46</v>
      </c>
      <c r="B49" s="161">
        <v>6</v>
      </c>
      <c r="C49" s="2"/>
      <c r="D49" s="111" t="e">
        <f t="shared" si="5"/>
        <v>#REF!</v>
      </c>
      <c r="E49" s="109" t="e">
        <f t="shared" si="3"/>
        <v>#REF!</v>
      </c>
      <c r="F49" s="106" t="e">
        <f t="shared" si="0"/>
        <v>#REF!</v>
      </c>
      <c r="G49" s="107" t="e">
        <f t="shared" si="4"/>
        <v>#REF!</v>
      </c>
      <c r="H49" s="108" t="e">
        <f t="shared" si="2"/>
        <v>#REF!</v>
      </c>
      <c r="I49" s="110" t="e">
        <f t="shared" si="1"/>
        <v>#REF!</v>
      </c>
      <c r="J49" s="96"/>
      <c r="K49" s="166"/>
      <c r="M49" s="50"/>
      <c r="N49" s="156" t="e">
        <f>F49/(jednosložkové!$G$25-$G$26)</f>
        <v>#REF!</v>
      </c>
      <c r="O49" s="157" t="e">
        <f>N49*jednosložkové!$G$25</f>
        <v>#REF!</v>
      </c>
      <c r="P49" s="167"/>
      <c r="Q49" s="90"/>
      <c r="S49" s="147">
        <f>B79</f>
        <v>60</v>
      </c>
      <c r="T49" s="148" t="e">
        <f>D79</f>
        <v>#REF!</v>
      </c>
      <c r="U49" s="148" t="e">
        <f>E79</f>
        <v>#REF!</v>
      </c>
    </row>
    <row r="50" spans="1:21" ht="15.75">
      <c r="A50" s="133" t="s">
        <v>11</v>
      </c>
      <c r="B50" s="161">
        <v>6</v>
      </c>
      <c r="C50" s="2"/>
      <c r="D50" s="111" t="e">
        <f t="shared" si="5"/>
        <v>#REF!</v>
      </c>
      <c r="E50" s="109"/>
      <c r="F50" s="106" t="e">
        <f t="shared" si="0"/>
        <v>#REF!</v>
      </c>
      <c r="G50" s="107" t="e">
        <f t="shared" si="4"/>
        <v>#REF!</v>
      </c>
      <c r="H50" s="108"/>
      <c r="I50" s="110" t="e">
        <f t="shared" si="1"/>
        <v>#REF!</v>
      </c>
      <c r="J50" s="96"/>
      <c r="K50" s="50"/>
      <c r="M50" s="50"/>
      <c r="N50" s="149"/>
      <c r="O50" s="106"/>
      <c r="P50" s="57"/>
      <c r="Q50" s="90"/>
      <c r="S50" s="147">
        <f>B82</f>
        <v>75</v>
      </c>
      <c r="T50" s="148" t="e">
        <f>D82</f>
        <v>#REF!</v>
      </c>
      <c r="U50" s="148" t="e">
        <f>E82</f>
        <v>#REF!</v>
      </c>
    </row>
    <row r="51" spans="1:21" ht="15.75">
      <c r="A51" s="134" t="s">
        <v>12</v>
      </c>
      <c r="B51" s="162">
        <v>6</v>
      </c>
      <c r="C51" s="135"/>
      <c r="D51" s="141"/>
      <c r="E51" s="136" t="e">
        <f t="shared" si="3"/>
        <v>#REF!</v>
      </c>
      <c r="F51" s="137" t="e">
        <f t="shared" si="0"/>
        <v>#REF!</v>
      </c>
      <c r="G51" s="138"/>
      <c r="H51" s="139" t="e">
        <f t="shared" si="2"/>
        <v>#REF!</v>
      </c>
      <c r="I51" s="140" t="e">
        <f t="shared" si="1"/>
        <v>#REF!</v>
      </c>
      <c r="J51" s="96"/>
      <c r="K51" s="50"/>
      <c r="M51" s="50"/>
      <c r="N51" s="150"/>
      <c r="O51" s="137"/>
      <c r="P51" s="57"/>
      <c r="Q51" s="90"/>
      <c r="S51" s="147">
        <f>B85</f>
        <v>80</v>
      </c>
      <c r="T51" s="148" t="e">
        <f>D85</f>
        <v>#REF!</v>
      </c>
      <c r="U51" s="148" t="e">
        <f>E85</f>
        <v>#REF!</v>
      </c>
    </row>
    <row r="52" spans="1:21" ht="15.75">
      <c r="A52" s="133" t="s">
        <v>46</v>
      </c>
      <c r="B52" s="161">
        <v>7</v>
      </c>
      <c r="C52" s="2"/>
      <c r="D52" s="111" t="e">
        <f t="shared" si="5"/>
        <v>#REF!</v>
      </c>
      <c r="E52" s="109" t="e">
        <f t="shared" si="3"/>
        <v>#REF!</v>
      </c>
      <c r="F52" s="106" t="e">
        <f t="shared" si="0"/>
        <v>#REF!</v>
      </c>
      <c r="G52" s="107" t="e">
        <f t="shared" si="4"/>
        <v>#REF!</v>
      </c>
      <c r="H52" s="108" t="e">
        <f t="shared" si="2"/>
        <v>#REF!</v>
      </c>
      <c r="I52" s="110" t="e">
        <f t="shared" si="1"/>
        <v>#REF!</v>
      </c>
      <c r="J52" s="96"/>
      <c r="K52" s="50"/>
      <c r="M52" s="50"/>
      <c r="N52" s="156" t="e">
        <f>F52/(jednosložkové!$G$25-$G$26)</f>
        <v>#REF!</v>
      </c>
      <c r="O52" s="157" t="e">
        <f>N52*jednosložkové!$G$25</f>
        <v>#REF!</v>
      </c>
      <c r="P52" s="57"/>
      <c r="Q52" s="90"/>
      <c r="S52" s="147">
        <f>B88</f>
        <v>90</v>
      </c>
      <c r="T52" s="148" t="e">
        <f>D88</f>
        <v>#REF!</v>
      </c>
      <c r="U52" s="148" t="e">
        <f>E88</f>
        <v>#REF!</v>
      </c>
    </row>
    <row r="53" spans="1:21" ht="15.75">
      <c r="A53" s="133" t="s">
        <v>11</v>
      </c>
      <c r="B53" s="161">
        <v>7</v>
      </c>
      <c r="C53" s="2"/>
      <c r="D53" s="111" t="e">
        <f t="shared" si="5"/>
        <v>#REF!</v>
      </c>
      <c r="E53" s="109"/>
      <c r="F53" s="106" t="e">
        <f t="shared" si="0"/>
        <v>#REF!</v>
      </c>
      <c r="G53" s="107" t="e">
        <f t="shared" si="4"/>
        <v>#REF!</v>
      </c>
      <c r="H53" s="108"/>
      <c r="I53" s="110" t="e">
        <f t="shared" si="1"/>
        <v>#REF!</v>
      </c>
      <c r="N53" s="149"/>
      <c r="O53" s="106"/>
      <c r="P53" s="97"/>
      <c r="S53" s="147">
        <f>B91</f>
        <v>100</v>
      </c>
      <c r="T53" s="148" t="e">
        <f>D91</f>
        <v>#REF!</v>
      </c>
      <c r="U53" s="148" t="e">
        <f>E91</f>
        <v>#REF!</v>
      </c>
    </row>
    <row r="54" spans="1:21" ht="15.75">
      <c r="A54" s="134" t="s">
        <v>12</v>
      </c>
      <c r="B54" s="162">
        <v>7</v>
      </c>
      <c r="C54" s="135"/>
      <c r="D54" s="141"/>
      <c r="E54" s="136" t="e">
        <f t="shared" si="3"/>
        <v>#REF!</v>
      </c>
      <c r="F54" s="137" t="e">
        <f t="shared" si="0"/>
        <v>#REF!</v>
      </c>
      <c r="G54" s="138"/>
      <c r="H54" s="139" t="e">
        <f t="shared" si="2"/>
        <v>#REF!</v>
      </c>
      <c r="I54" s="140" t="e">
        <f t="shared" si="1"/>
        <v>#REF!</v>
      </c>
      <c r="N54" s="150"/>
      <c r="O54" s="137"/>
      <c r="S54" s="147">
        <f>B94</f>
        <v>120</v>
      </c>
      <c r="T54" s="148" t="e">
        <f>D94</f>
        <v>#REF!</v>
      </c>
      <c r="U54" s="148" t="e">
        <f>E94</f>
        <v>#REF!</v>
      </c>
    </row>
    <row r="55" spans="1:21" ht="15.75">
      <c r="A55" s="133" t="s">
        <v>46</v>
      </c>
      <c r="B55" s="161">
        <v>10</v>
      </c>
      <c r="C55" s="2">
        <v>959</v>
      </c>
      <c r="D55" s="111" t="e">
        <f t="shared" si="5"/>
        <v>#REF!</v>
      </c>
      <c r="E55" s="109" t="e">
        <f t="shared" si="3"/>
        <v>#REF!</v>
      </c>
      <c r="F55" s="106" t="e">
        <f t="shared" si="0"/>
        <v>#REF!</v>
      </c>
      <c r="G55" s="107" t="e">
        <f t="shared" si="4"/>
        <v>#REF!</v>
      </c>
      <c r="H55" s="108" t="e">
        <f t="shared" si="2"/>
        <v>#REF!</v>
      </c>
      <c r="I55" s="110" t="e">
        <f t="shared" si="1"/>
        <v>#REF!</v>
      </c>
      <c r="N55" s="156" t="e">
        <f>F55/(jednosložkové!$G$25-$G$26)</f>
        <v>#REF!</v>
      </c>
      <c r="O55" s="157" t="e">
        <f>N55*jednosložkové!$G$25</f>
        <v>#REF!</v>
      </c>
      <c r="S55" s="147">
        <f>B97</f>
        <v>150</v>
      </c>
      <c r="T55" s="148" t="e">
        <f>D97</f>
        <v>#REF!</v>
      </c>
      <c r="U55" s="103" t="e">
        <f>E97</f>
        <v>#REF!</v>
      </c>
    </row>
    <row r="56" spans="1:21" ht="15.75" customHeight="1">
      <c r="A56" s="133" t="s">
        <v>11</v>
      </c>
      <c r="B56" s="161">
        <v>10</v>
      </c>
      <c r="C56" s="2">
        <v>84</v>
      </c>
      <c r="D56" s="111" t="e">
        <f t="shared" si="5"/>
        <v>#REF!</v>
      </c>
      <c r="E56" s="109"/>
      <c r="F56" s="106" t="e">
        <f t="shared" si="0"/>
        <v>#REF!</v>
      </c>
      <c r="G56" s="107" t="e">
        <f t="shared" si="4"/>
        <v>#REF!</v>
      </c>
      <c r="H56" s="108"/>
      <c r="I56" s="110" t="e">
        <f t="shared" si="1"/>
        <v>#REF!</v>
      </c>
      <c r="N56" s="149"/>
      <c r="O56" s="106"/>
      <c r="S56" s="147">
        <f>B100</f>
        <v>180</v>
      </c>
      <c r="T56" s="148" t="e">
        <f>D100</f>
        <v>#REF!</v>
      </c>
      <c r="U56" s="103" t="e">
        <f>E100</f>
        <v>#REF!</v>
      </c>
    </row>
    <row r="57" spans="1:21" ht="17.25" customHeight="1">
      <c r="A57" s="134" t="s">
        <v>12</v>
      </c>
      <c r="B57" s="162">
        <v>10</v>
      </c>
      <c r="C57" s="2">
        <v>1</v>
      </c>
      <c r="D57" s="141"/>
      <c r="E57" s="136" t="e">
        <f t="shared" si="3"/>
        <v>#REF!</v>
      </c>
      <c r="F57" s="137" t="e">
        <f t="shared" si="0"/>
        <v>#REF!</v>
      </c>
      <c r="G57" s="138"/>
      <c r="H57" s="139" t="e">
        <f t="shared" si="2"/>
        <v>#REF!</v>
      </c>
      <c r="I57" s="140" t="e">
        <f t="shared" si="1"/>
        <v>#REF!</v>
      </c>
      <c r="N57" s="150"/>
      <c r="O57" s="137"/>
      <c r="S57" s="147">
        <f>B103</f>
        <v>250</v>
      </c>
      <c r="T57" s="148" t="e">
        <f>D103</f>
        <v>#REF!</v>
      </c>
      <c r="U57" s="148" t="e">
        <f>E103</f>
        <v>#REF!</v>
      </c>
    </row>
    <row r="58" spans="1:21" ht="15.75">
      <c r="A58" s="133" t="s">
        <v>46</v>
      </c>
      <c r="B58" s="161">
        <v>15</v>
      </c>
      <c r="C58" s="2"/>
      <c r="D58" s="111" t="e">
        <f t="shared" si="5"/>
        <v>#REF!</v>
      </c>
      <c r="E58" s="109" t="e">
        <f t="shared" si="3"/>
        <v>#REF!</v>
      </c>
      <c r="F58" s="106" t="e">
        <f t="shared" si="0"/>
        <v>#REF!</v>
      </c>
      <c r="G58" s="107" t="e">
        <f t="shared" si="4"/>
        <v>#REF!</v>
      </c>
      <c r="H58" s="108" t="e">
        <f t="shared" si="2"/>
        <v>#REF!</v>
      </c>
      <c r="I58" s="110" t="e">
        <f t="shared" si="1"/>
        <v>#REF!</v>
      </c>
      <c r="N58" s="156" t="e">
        <f>F58/(jednosložkové!$G$25-$G$26)</f>
        <v>#REF!</v>
      </c>
      <c r="O58" s="157" t="e">
        <f>N58*jednosložkové!$G$25</f>
        <v>#REF!</v>
      </c>
      <c r="S58" s="147">
        <f>B106</f>
        <v>400</v>
      </c>
      <c r="T58" s="106" t="e">
        <f>D106</f>
        <v>#REF!</v>
      </c>
      <c r="U58" s="106" t="e">
        <f>E106</f>
        <v>#REF!</v>
      </c>
    </row>
    <row r="59" spans="1:21" ht="15.75">
      <c r="A59" s="133" t="s">
        <v>11</v>
      </c>
      <c r="B59" s="161">
        <v>15</v>
      </c>
      <c r="C59" s="2"/>
      <c r="D59" s="111" t="e">
        <f t="shared" si="5"/>
        <v>#REF!</v>
      </c>
      <c r="E59" s="109"/>
      <c r="F59" s="106" t="e">
        <f t="shared" si="0"/>
        <v>#REF!</v>
      </c>
      <c r="G59" s="107" t="e">
        <f t="shared" si="4"/>
        <v>#REF!</v>
      </c>
      <c r="H59" s="108"/>
      <c r="I59" s="110" t="e">
        <f t="shared" si="1"/>
        <v>#REF!</v>
      </c>
      <c r="N59" s="149"/>
      <c r="O59" s="106"/>
      <c r="S59" s="147">
        <f>B109</f>
        <v>550</v>
      </c>
      <c r="T59" s="106" t="e">
        <f>D109</f>
        <v>#REF!</v>
      </c>
      <c r="U59" s="106" t="e">
        <f>E109</f>
        <v>#REF!</v>
      </c>
    </row>
    <row r="60" spans="1:21" ht="15.75">
      <c r="A60" s="134" t="s">
        <v>12</v>
      </c>
      <c r="B60" s="162">
        <v>15</v>
      </c>
      <c r="C60" s="135"/>
      <c r="D60" s="141"/>
      <c r="E60" s="136" t="e">
        <f t="shared" si="3"/>
        <v>#REF!</v>
      </c>
      <c r="F60" s="137" t="e">
        <f t="shared" si="0"/>
        <v>#REF!</v>
      </c>
      <c r="G60" s="138"/>
      <c r="H60" s="139" t="e">
        <f t="shared" si="2"/>
        <v>#REF!</v>
      </c>
      <c r="I60" s="140" t="e">
        <f t="shared" si="1"/>
        <v>#REF!</v>
      </c>
      <c r="N60" s="150"/>
      <c r="O60" s="137"/>
      <c r="S60" s="147"/>
      <c r="T60" s="106"/>
      <c r="U60" s="106"/>
    </row>
    <row r="61" spans="1:22" ht="15.75">
      <c r="A61" s="133" t="s">
        <v>46</v>
      </c>
      <c r="B61" s="161">
        <v>20</v>
      </c>
      <c r="C61" s="142"/>
      <c r="D61" s="109" t="e">
        <f t="shared" si="5"/>
        <v>#REF!</v>
      </c>
      <c r="E61" s="109" t="e">
        <f t="shared" si="3"/>
        <v>#REF!</v>
      </c>
      <c r="F61" s="106" t="e">
        <f t="shared" si="0"/>
        <v>#REF!</v>
      </c>
      <c r="G61" s="107" t="e">
        <f t="shared" si="4"/>
        <v>#REF!</v>
      </c>
      <c r="H61" s="143" t="e">
        <f t="shared" si="2"/>
        <v>#REF!</v>
      </c>
      <c r="I61" s="110" t="e">
        <f t="shared" si="1"/>
        <v>#REF!</v>
      </c>
      <c r="N61" s="156" t="e">
        <f>F61/(jednosložkové!$G$25-$G$26)</f>
        <v>#REF!</v>
      </c>
      <c r="O61" s="157" t="e">
        <f>N61*jednosložkové!$G$25</f>
        <v>#REF!</v>
      </c>
      <c r="S61" s="147"/>
      <c r="T61" s="148"/>
      <c r="U61" s="148"/>
      <c r="V61" s="50"/>
    </row>
    <row r="62" spans="1:21" ht="15.75">
      <c r="A62" s="133" t="s">
        <v>11</v>
      </c>
      <c r="B62" s="161">
        <v>20</v>
      </c>
      <c r="C62" s="142"/>
      <c r="D62" s="109" t="e">
        <f t="shared" si="5"/>
        <v>#REF!</v>
      </c>
      <c r="E62" s="109"/>
      <c r="F62" s="106" t="e">
        <f t="shared" si="0"/>
        <v>#REF!</v>
      </c>
      <c r="G62" s="107" t="e">
        <f t="shared" si="4"/>
        <v>#REF!</v>
      </c>
      <c r="H62" s="143"/>
      <c r="I62" s="110" t="e">
        <f t="shared" si="1"/>
        <v>#REF!</v>
      </c>
      <c r="J62" s="5"/>
      <c r="K62" s="50"/>
      <c r="L62" s="67"/>
      <c r="N62" s="151"/>
      <c r="R62" s="49"/>
      <c r="S62" s="147"/>
      <c r="T62" s="148"/>
      <c r="U62" s="148"/>
    </row>
    <row r="63" spans="1:21" ht="15.75">
      <c r="A63" s="134" t="s">
        <v>12</v>
      </c>
      <c r="B63" s="162">
        <v>20</v>
      </c>
      <c r="C63" s="144"/>
      <c r="D63" s="136"/>
      <c r="E63" s="136" t="e">
        <f aca="true" t="shared" si="6" ref="E63:E96">$K$30+$K$32*B63^$K$34</f>
        <v>#REF!</v>
      </c>
      <c r="F63" s="137" t="e">
        <f t="shared" si="0"/>
        <v>#REF!</v>
      </c>
      <c r="G63" s="138"/>
      <c r="H63" s="145" t="e">
        <f aca="true" t="shared" si="7" ref="H63:H96">C63*E63</f>
        <v>#REF!</v>
      </c>
      <c r="I63" s="140" t="e">
        <f t="shared" si="1"/>
        <v>#REF!</v>
      </c>
      <c r="M63" s="50"/>
      <c r="N63" s="153"/>
      <c r="O63" s="154"/>
      <c r="S63" s="147"/>
      <c r="T63" s="148"/>
      <c r="U63" s="148"/>
    </row>
    <row r="64" spans="1:21" ht="15.75">
      <c r="A64" s="133" t="s">
        <v>46</v>
      </c>
      <c r="B64" s="161">
        <v>25</v>
      </c>
      <c r="C64" s="142"/>
      <c r="D64" s="109" t="e">
        <f t="shared" si="5"/>
        <v>#REF!</v>
      </c>
      <c r="E64" s="109" t="e">
        <f t="shared" si="6"/>
        <v>#REF!</v>
      </c>
      <c r="F64" s="106" t="e">
        <f t="shared" si="0"/>
        <v>#REF!</v>
      </c>
      <c r="G64" s="107" t="e">
        <f t="shared" si="4"/>
        <v>#REF!</v>
      </c>
      <c r="H64" s="143" t="e">
        <f t="shared" si="7"/>
        <v>#REF!</v>
      </c>
      <c r="I64" s="110" t="e">
        <f t="shared" si="1"/>
        <v>#REF!</v>
      </c>
      <c r="N64" s="156" t="e">
        <f>F64/(jednosložkové!$G$25-$G$26)</f>
        <v>#REF!</v>
      </c>
      <c r="O64" s="157" t="e">
        <f>N64*jednosložkové!$G$25</f>
        <v>#REF!</v>
      </c>
      <c r="S64" s="147"/>
      <c r="T64" s="148"/>
      <c r="U64" s="148"/>
    </row>
    <row r="65" spans="1:21" ht="15.75">
      <c r="A65" s="133" t="s">
        <v>11</v>
      </c>
      <c r="B65" s="161">
        <v>25</v>
      </c>
      <c r="C65" s="142"/>
      <c r="D65" s="109" t="e">
        <f t="shared" si="5"/>
        <v>#REF!</v>
      </c>
      <c r="E65" s="109"/>
      <c r="F65" s="106" t="e">
        <f t="shared" si="0"/>
        <v>#REF!</v>
      </c>
      <c r="G65" s="107" t="e">
        <f t="shared" si="4"/>
        <v>#REF!</v>
      </c>
      <c r="H65" s="143"/>
      <c r="I65" s="110" t="e">
        <f t="shared" si="1"/>
        <v>#REF!</v>
      </c>
      <c r="N65" s="151"/>
      <c r="S65" s="147"/>
      <c r="T65" s="148"/>
      <c r="U65" s="148"/>
    </row>
    <row r="66" spans="1:21" ht="15.75">
      <c r="A66" s="134" t="s">
        <v>12</v>
      </c>
      <c r="B66" s="162">
        <v>25</v>
      </c>
      <c r="C66" s="144"/>
      <c r="D66" s="136"/>
      <c r="E66" s="136" t="e">
        <f t="shared" si="6"/>
        <v>#REF!</v>
      </c>
      <c r="F66" s="137" t="e">
        <f t="shared" si="0"/>
        <v>#REF!</v>
      </c>
      <c r="G66" s="138"/>
      <c r="H66" s="145" t="e">
        <f t="shared" si="7"/>
        <v>#REF!</v>
      </c>
      <c r="I66" s="140" t="e">
        <f t="shared" si="1"/>
        <v>#REF!</v>
      </c>
      <c r="N66" s="153"/>
      <c r="O66" s="154"/>
      <c r="S66" s="147"/>
      <c r="T66" s="148"/>
      <c r="U66" s="148"/>
    </row>
    <row r="67" spans="1:21" ht="15.75" customHeight="1">
      <c r="A67" s="133" t="s">
        <v>46</v>
      </c>
      <c r="B67" s="161">
        <v>30</v>
      </c>
      <c r="C67" s="142"/>
      <c r="D67" s="109" t="e">
        <f t="shared" si="5"/>
        <v>#REF!</v>
      </c>
      <c r="E67" s="109" t="e">
        <f t="shared" si="6"/>
        <v>#REF!</v>
      </c>
      <c r="F67" s="106" t="e">
        <f t="shared" si="0"/>
        <v>#REF!</v>
      </c>
      <c r="G67" s="107" t="e">
        <f t="shared" si="4"/>
        <v>#REF!</v>
      </c>
      <c r="H67" s="143" t="e">
        <f t="shared" si="7"/>
        <v>#REF!</v>
      </c>
      <c r="I67" s="110" t="e">
        <f t="shared" si="1"/>
        <v>#REF!</v>
      </c>
      <c r="N67" s="156" t="e">
        <f>F67/(jednosložkové!$G$25-$G$26)</f>
        <v>#REF!</v>
      </c>
      <c r="O67" s="157" t="e">
        <f>N67*jednosložkové!$G$25</f>
        <v>#REF!</v>
      </c>
      <c r="S67" s="147"/>
      <c r="T67" s="148"/>
      <c r="U67" s="148"/>
    </row>
    <row r="68" spans="1:21" ht="18.75" customHeight="1">
      <c r="A68" s="133" t="s">
        <v>11</v>
      </c>
      <c r="B68" s="161">
        <v>30</v>
      </c>
      <c r="C68" s="142"/>
      <c r="D68" s="109" t="e">
        <f t="shared" si="5"/>
        <v>#REF!</v>
      </c>
      <c r="E68" s="109"/>
      <c r="F68" s="106" t="e">
        <f t="shared" si="0"/>
        <v>#REF!</v>
      </c>
      <c r="G68" s="107" t="e">
        <f t="shared" si="4"/>
        <v>#REF!</v>
      </c>
      <c r="H68" s="143"/>
      <c r="I68" s="110" t="e">
        <f t="shared" si="1"/>
        <v>#REF!</v>
      </c>
      <c r="N68" s="151"/>
      <c r="S68" s="147"/>
      <c r="T68" s="148"/>
      <c r="U68" s="148"/>
    </row>
    <row r="69" spans="1:21" ht="15.75" customHeight="1">
      <c r="A69" s="134" t="s">
        <v>12</v>
      </c>
      <c r="B69" s="162">
        <v>30</v>
      </c>
      <c r="C69" s="144"/>
      <c r="D69" s="136"/>
      <c r="E69" s="136" t="e">
        <f t="shared" si="6"/>
        <v>#REF!</v>
      </c>
      <c r="F69" s="137" t="e">
        <f t="shared" si="0"/>
        <v>#REF!</v>
      </c>
      <c r="G69" s="138"/>
      <c r="H69" s="145" t="e">
        <f t="shared" si="7"/>
        <v>#REF!</v>
      </c>
      <c r="I69" s="140" t="e">
        <f t="shared" si="1"/>
        <v>#REF!</v>
      </c>
      <c r="N69" s="153"/>
      <c r="O69" s="154"/>
      <c r="S69" s="147"/>
      <c r="T69" s="148"/>
      <c r="U69" s="148"/>
    </row>
    <row r="70" spans="1:21" ht="15.75" customHeight="1">
      <c r="A70" s="133" t="s">
        <v>46</v>
      </c>
      <c r="B70" s="161">
        <v>35</v>
      </c>
      <c r="C70" s="142"/>
      <c r="D70" s="109" t="e">
        <f t="shared" si="5"/>
        <v>#REF!</v>
      </c>
      <c r="E70" s="109" t="e">
        <f t="shared" si="6"/>
        <v>#REF!</v>
      </c>
      <c r="F70" s="106" t="e">
        <f t="shared" si="0"/>
        <v>#REF!</v>
      </c>
      <c r="G70" s="180" t="e">
        <f t="shared" si="4"/>
        <v>#REF!</v>
      </c>
      <c r="H70" s="143" t="e">
        <f t="shared" si="7"/>
        <v>#REF!</v>
      </c>
      <c r="I70" s="110" t="e">
        <f t="shared" si="1"/>
        <v>#REF!</v>
      </c>
      <c r="N70" s="156" t="e">
        <f>F70/(jednosložkové!$G$25-$G$26)</f>
        <v>#REF!</v>
      </c>
      <c r="O70" s="157" t="e">
        <f>N70*jednosložkové!$G$25</f>
        <v>#REF!</v>
      </c>
      <c r="S70" s="147"/>
      <c r="T70" s="148"/>
      <c r="U70" s="148"/>
    </row>
    <row r="71" spans="1:28" ht="15.75" customHeight="1">
      <c r="A71" s="133" t="s">
        <v>11</v>
      </c>
      <c r="B71" s="161">
        <v>35</v>
      </c>
      <c r="C71" s="142"/>
      <c r="D71" s="109" t="e">
        <f t="shared" si="5"/>
        <v>#REF!</v>
      </c>
      <c r="E71" s="109"/>
      <c r="F71" s="106" t="e">
        <f t="shared" si="0"/>
        <v>#REF!</v>
      </c>
      <c r="G71" s="107" t="e">
        <f t="shared" si="4"/>
        <v>#REF!</v>
      </c>
      <c r="H71" s="143"/>
      <c r="I71" s="110" t="e">
        <f t="shared" si="1"/>
        <v>#REF!</v>
      </c>
      <c r="N71" s="151"/>
      <c r="S71" s="147"/>
      <c r="T71" s="148"/>
      <c r="U71" s="148"/>
      <c r="AA71" s="67"/>
      <c r="AB71" s="67"/>
    </row>
    <row r="72" spans="1:28" ht="15.75" customHeight="1">
      <c r="A72" s="134" t="s">
        <v>12</v>
      </c>
      <c r="B72" s="162">
        <v>35</v>
      </c>
      <c r="C72" s="144"/>
      <c r="D72" s="136"/>
      <c r="E72" s="136" t="e">
        <f t="shared" si="6"/>
        <v>#REF!</v>
      </c>
      <c r="F72" s="137" t="e">
        <f t="shared" si="0"/>
        <v>#REF!</v>
      </c>
      <c r="G72" s="138"/>
      <c r="H72" s="145" t="e">
        <f t="shared" si="7"/>
        <v>#REF!</v>
      </c>
      <c r="I72" s="140" t="e">
        <f t="shared" si="1"/>
        <v>#REF!</v>
      </c>
      <c r="N72" s="153"/>
      <c r="O72" s="154"/>
      <c r="S72" s="147"/>
      <c r="T72" s="148"/>
      <c r="U72" s="148"/>
      <c r="AA72" s="67"/>
      <c r="AB72" s="67"/>
    </row>
    <row r="73" spans="1:28" ht="15.75" customHeight="1">
      <c r="A73" s="133" t="s">
        <v>46</v>
      </c>
      <c r="B73" s="161">
        <v>40</v>
      </c>
      <c r="C73" s="2">
        <v>177</v>
      </c>
      <c r="D73" s="109" t="e">
        <f t="shared" si="5"/>
        <v>#REF!</v>
      </c>
      <c r="E73" s="109" t="e">
        <f t="shared" si="6"/>
        <v>#REF!</v>
      </c>
      <c r="F73" s="106" t="e">
        <f t="shared" si="0"/>
        <v>#REF!</v>
      </c>
      <c r="G73" s="107" t="e">
        <f t="shared" si="4"/>
        <v>#REF!</v>
      </c>
      <c r="H73" s="143" t="e">
        <f t="shared" si="7"/>
        <v>#REF!</v>
      </c>
      <c r="I73" s="110" t="e">
        <f t="shared" si="1"/>
        <v>#REF!</v>
      </c>
      <c r="N73" s="156" t="e">
        <f>F73/(jednosložkové!$G$25-$G$26)</f>
        <v>#REF!</v>
      </c>
      <c r="O73" s="157" t="e">
        <f>N73*jednosložkové!$G$25</f>
        <v>#REF!</v>
      </c>
      <c r="S73" s="147"/>
      <c r="T73" s="148"/>
      <c r="U73" s="148"/>
      <c r="AA73" s="67"/>
      <c r="AB73" s="67"/>
    </row>
    <row r="74" spans="1:27" ht="15.75" customHeight="1">
      <c r="A74" s="133" t="s">
        <v>11</v>
      </c>
      <c r="B74" s="161">
        <v>40</v>
      </c>
      <c r="C74" s="2">
        <v>12</v>
      </c>
      <c r="D74" s="109" t="e">
        <f t="shared" si="5"/>
        <v>#REF!</v>
      </c>
      <c r="E74" s="109"/>
      <c r="F74" s="106" t="e">
        <f t="shared" si="0"/>
        <v>#REF!</v>
      </c>
      <c r="G74" s="107" t="e">
        <f t="shared" si="4"/>
        <v>#REF!</v>
      </c>
      <c r="H74" s="143"/>
      <c r="I74" s="110" t="e">
        <f t="shared" si="1"/>
        <v>#REF!</v>
      </c>
      <c r="N74" s="151"/>
      <c r="S74" s="147"/>
      <c r="T74" s="148"/>
      <c r="U74" s="148"/>
      <c r="AA74" s="67"/>
    </row>
    <row r="75" spans="1:21" ht="15.75" customHeight="1">
      <c r="A75" s="134" t="s">
        <v>12</v>
      </c>
      <c r="B75" s="162">
        <v>40</v>
      </c>
      <c r="C75" s="2">
        <v>0</v>
      </c>
      <c r="D75" s="136"/>
      <c r="E75" s="136" t="e">
        <f t="shared" si="6"/>
        <v>#REF!</v>
      </c>
      <c r="F75" s="137" t="e">
        <f t="shared" si="0"/>
        <v>#REF!</v>
      </c>
      <c r="G75" s="138"/>
      <c r="H75" s="145" t="e">
        <f t="shared" si="7"/>
        <v>#REF!</v>
      </c>
      <c r="I75" s="140" t="e">
        <f t="shared" si="1"/>
        <v>#REF!</v>
      </c>
      <c r="N75" s="153"/>
      <c r="O75" s="154"/>
      <c r="S75" s="147"/>
      <c r="T75" s="148"/>
      <c r="U75" s="148"/>
    </row>
    <row r="76" spans="1:19" ht="16.5" thickBot="1">
      <c r="A76" s="133" t="s">
        <v>46</v>
      </c>
      <c r="B76" s="161">
        <v>50</v>
      </c>
      <c r="C76" s="142"/>
      <c r="D76" s="109" t="e">
        <f t="shared" si="5"/>
        <v>#REF!</v>
      </c>
      <c r="E76" s="109" t="e">
        <f t="shared" si="6"/>
        <v>#REF!</v>
      </c>
      <c r="F76" s="106" t="e">
        <f t="shared" si="0"/>
        <v>#REF!</v>
      </c>
      <c r="G76" s="107" t="e">
        <f t="shared" si="4"/>
        <v>#REF!</v>
      </c>
      <c r="H76" s="143" t="e">
        <f t="shared" si="7"/>
        <v>#REF!</v>
      </c>
      <c r="I76" s="110" t="e">
        <f t="shared" si="1"/>
        <v>#REF!</v>
      </c>
      <c r="N76" s="156" t="e">
        <f>F76/(jednosložkové!$G$25-$G$26)</f>
        <v>#REF!</v>
      </c>
      <c r="O76" s="157" t="e">
        <f>N76*jednosložkové!$G$25</f>
        <v>#REF!</v>
      </c>
      <c r="S76" s="152"/>
    </row>
    <row r="77" spans="1:30" ht="17.25" thickBot="1" thickTop="1">
      <c r="A77" s="133" t="s">
        <v>11</v>
      </c>
      <c r="B77" s="161">
        <v>50</v>
      </c>
      <c r="C77" s="142"/>
      <c r="D77" s="109" t="e">
        <f t="shared" si="5"/>
        <v>#REF!</v>
      </c>
      <c r="E77" s="109"/>
      <c r="F77" s="106" t="e">
        <f t="shared" si="0"/>
        <v>#REF!</v>
      </c>
      <c r="G77" s="107" t="e">
        <f t="shared" si="4"/>
        <v>#REF!</v>
      </c>
      <c r="H77" s="143"/>
      <c r="I77" s="110" t="e">
        <f t="shared" si="1"/>
        <v>#REF!</v>
      </c>
      <c r="N77" s="151"/>
      <c r="S77" s="152"/>
      <c r="AA77" s="100" t="s">
        <v>18</v>
      </c>
      <c r="AB77" s="20"/>
      <c r="AC77" s="20"/>
      <c r="AD77" s="101"/>
    </row>
    <row r="78" spans="1:29" ht="16.5" thickTop="1">
      <c r="A78" s="134" t="s">
        <v>12</v>
      </c>
      <c r="B78" s="162">
        <v>50</v>
      </c>
      <c r="C78" s="144"/>
      <c r="D78" s="136"/>
      <c r="E78" s="136" t="e">
        <f t="shared" si="6"/>
        <v>#REF!</v>
      </c>
      <c r="F78" s="137" t="e">
        <f t="shared" si="0"/>
        <v>#REF!</v>
      </c>
      <c r="G78" s="138"/>
      <c r="H78" s="145" t="e">
        <f t="shared" si="7"/>
        <v>#REF!</v>
      </c>
      <c r="I78" s="140" t="e">
        <f t="shared" si="1"/>
        <v>#REF!</v>
      </c>
      <c r="N78" s="153"/>
      <c r="O78" s="154"/>
      <c r="S78" s="152"/>
      <c r="AA78" s="20"/>
      <c r="AB78" s="20"/>
      <c r="AC78" s="20"/>
    </row>
    <row r="79" spans="1:19" ht="15.75">
      <c r="A79" s="133" t="s">
        <v>46</v>
      </c>
      <c r="B79" s="161">
        <v>60</v>
      </c>
      <c r="C79" s="142"/>
      <c r="D79" s="109" t="e">
        <f t="shared" si="5"/>
        <v>#REF!</v>
      </c>
      <c r="E79" s="109" t="e">
        <f t="shared" si="6"/>
        <v>#REF!</v>
      </c>
      <c r="F79" s="106" t="e">
        <f t="shared" si="0"/>
        <v>#REF!</v>
      </c>
      <c r="G79" s="107" t="e">
        <f t="shared" si="4"/>
        <v>#REF!</v>
      </c>
      <c r="H79" s="143" t="e">
        <f t="shared" si="7"/>
        <v>#REF!</v>
      </c>
      <c r="I79" s="110" t="e">
        <f t="shared" si="1"/>
        <v>#REF!</v>
      </c>
      <c r="N79" s="156" t="e">
        <f>F79/(jednosložkové!$G$25-$G$26)</f>
        <v>#REF!</v>
      </c>
      <c r="O79" s="157" t="e">
        <f>N79*jednosložkové!$G$25</f>
        <v>#REF!</v>
      </c>
      <c r="S79" s="152"/>
    </row>
    <row r="80" spans="1:19" ht="15.75">
      <c r="A80" s="133" t="s">
        <v>11</v>
      </c>
      <c r="B80" s="161">
        <v>60</v>
      </c>
      <c r="C80" s="142"/>
      <c r="D80" s="109" t="e">
        <f t="shared" si="5"/>
        <v>#REF!</v>
      </c>
      <c r="E80" s="109"/>
      <c r="F80" s="106" t="e">
        <f t="shared" si="0"/>
        <v>#REF!</v>
      </c>
      <c r="G80" s="107" t="e">
        <f t="shared" si="4"/>
        <v>#REF!</v>
      </c>
      <c r="H80" s="143"/>
      <c r="I80" s="110" t="e">
        <f t="shared" si="1"/>
        <v>#REF!</v>
      </c>
      <c r="N80" s="151"/>
      <c r="S80" s="152"/>
    </row>
    <row r="81" spans="1:19" ht="15.75">
      <c r="A81" s="134" t="s">
        <v>12</v>
      </c>
      <c r="B81" s="162">
        <v>60</v>
      </c>
      <c r="C81" s="144"/>
      <c r="D81" s="136"/>
      <c r="E81" s="136" t="e">
        <f t="shared" si="6"/>
        <v>#REF!</v>
      </c>
      <c r="F81" s="137" t="e">
        <f t="shared" si="0"/>
        <v>#REF!</v>
      </c>
      <c r="G81" s="138"/>
      <c r="H81" s="145" t="e">
        <f t="shared" si="7"/>
        <v>#REF!</v>
      </c>
      <c r="I81" s="140" t="e">
        <f t="shared" si="1"/>
        <v>#REF!</v>
      </c>
      <c r="N81" s="153"/>
      <c r="O81" s="154"/>
      <c r="S81" s="152"/>
    </row>
    <row r="82" spans="1:19" ht="15.75">
      <c r="A82" s="133" t="s">
        <v>46</v>
      </c>
      <c r="B82" s="161">
        <v>75</v>
      </c>
      <c r="C82" s="142"/>
      <c r="D82" s="109" t="e">
        <f t="shared" si="5"/>
        <v>#REF!</v>
      </c>
      <c r="E82" s="109" t="e">
        <f t="shared" si="6"/>
        <v>#REF!</v>
      </c>
      <c r="F82" s="106" t="e">
        <f t="shared" si="0"/>
        <v>#REF!</v>
      </c>
      <c r="G82" s="107" t="e">
        <f t="shared" si="4"/>
        <v>#REF!</v>
      </c>
      <c r="H82" s="143" t="e">
        <f t="shared" si="7"/>
        <v>#REF!</v>
      </c>
      <c r="I82" s="110" t="e">
        <f t="shared" si="1"/>
        <v>#REF!</v>
      </c>
      <c r="N82" s="156" t="e">
        <f>F82/(jednosložkové!$G$25-$G$26)</f>
        <v>#REF!</v>
      </c>
      <c r="O82" s="157" t="e">
        <f>N82*jednosložkové!$G$25</f>
        <v>#REF!</v>
      </c>
      <c r="S82" s="152"/>
    </row>
    <row r="83" spans="1:19" ht="15.75">
      <c r="A83" s="133" t="s">
        <v>11</v>
      </c>
      <c r="B83" s="161">
        <v>75</v>
      </c>
      <c r="C83" s="142"/>
      <c r="D83" s="109" t="e">
        <f t="shared" si="5"/>
        <v>#REF!</v>
      </c>
      <c r="E83" s="109"/>
      <c r="F83" s="106" t="e">
        <f t="shared" si="0"/>
        <v>#REF!</v>
      </c>
      <c r="G83" s="107" t="e">
        <f t="shared" si="4"/>
        <v>#REF!</v>
      </c>
      <c r="H83" s="143"/>
      <c r="I83" s="110" t="e">
        <f t="shared" si="1"/>
        <v>#REF!</v>
      </c>
      <c r="N83" s="151"/>
      <c r="S83" s="152"/>
    </row>
    <row r="84" spans="1:19" ht="15.75">
      <c r="A84" s="134" t="s">
        <v>12</v>
      </c>
      <c r="B84" s="162">
        <v>75</v>
      </c>
      <c r="C84" s="144"/>
      <c r="D84" s="136"/>
      <c r="E84" s="136" t="e">
        <f t="shared" si="6"/>
        <v>#REF!</v>
      </c>
      <c r="F84" s="137" t="e">
        <f t="shared" si="0"/>
        <v>#REF!</v>
      </c>
      <c r="G84" s="138"/>
      <c r="H84" s="145" t="e">
        <f t="shared" si="7"/>
        <v>#REF!</v>
      </c>
      <c r="I84" s="140" t="e">
        <f t="shared" si="1"/>
        <v>#REF!</v>
      </c>
      <c r="N84" s="153"/>
      <c r="O84" s="154"/>
      <c r="S84" s="152"/>
    </row>
    <row r="85" spans="1:19" ht="15.75">
      <c r="A85" s="133" t="s">
        <v>46</v>
      </c>
      <c r="B85" s="161">
        <v>80</v>
      </c>
      <c r="C85" s="142"/>
      <c r="D85" s="109" t="e">
        <f t="shared" si="5"/>
        <v>#REF!</v>
      </c>
      <c r="E85" s="109" t="e">
        <f t="shared" si="6"/>
        <v>#REF!</v>
      </c>
      <c r="F85" s="106" t="e">
        <f t="shared" si="0"/>
        <v>#REF!</v>
      </c>
      <c r="G85" s="107" t="e">
        <f t="shared" si="4"/>
        <v>#REF!</v>
      </c>
      <c r="H85" s="143" t="e">
        <f t="shared" si="7"/>
        <v>#REF!</v>
      </c>
      <c r="I85" s="110" t="e">
        <f t="shared" si="1"/>
        <v>#REF!</v>
      </c>
      <c r="N85" s="156" t="e">
        <f>F85/(jednosložkové!$G$25-$G$26)</f>
        <v>#REF!</v>
      </c>
      <c r="O85" s="157" t="e">
        <f>N85*jednosložkové!$G$25</f>
        <v>#REF!</v>
      </c>
      <c r="S85" s="152"/>
    </row>
    <row r="86" spans="1:14" ht="15.75">
      <c r="A86" s="133" t="s">
        <v>11</v>
      </c>
      <c r="B86" s="161">
        <v>80</v>
      </c>
      <c r="C86" s="142"/>
      <c r="D86" s="109" t="e">
        <f t="shared" si="5"/>
        <v>#REF!</v>
      </c>
      <c r="E86" s="109"/>
      <c r="F86" s="106" t="e">
        <f t="shared" si="0"/>
        <v>#REF!</v>
      </c>
      <c r="G86" s="107" t="e">
        <f t="shared" si="4"/>
        <v>#REF!</v>
      </c>
      <c r="H86" s="143"/>
      <c r="I86" s="110" t="e">
        <f t="shared" si="1"/>
        <v>#REF!</v>
      </c>
      <c r="N86" s="151"/>
    </row>
    <row r="87" spans="1:15" ht="15.75">
      <c r="A87" s="134" t="s">
        <v>12</v>
      </c>
      <c r="B87" s="162">
        <v>80</v>
      </c>
      <c r="C87" s="144"/>
      <c r="D87" s="136"/>
      <c r="E87" s="136" t="e">
        <f t="shared" si="6"/>
        <v>#REF!</v>
      </c>
      <c r="F87" s="137" t="e">
        <f t="shared" si="0"/>
        <v>#REF!</v>
      </c>
      <c r="G87" s="138"/>
      <c r="H87" s="145" t="e">
        <f t="shared" si="7"/>
        <v>#REF!</v>
      </c>
      <c r="I87" s="140" t="e">
        <f t="shared" si="1"/>
        <v>#REF!</v>
      </c>
      <c r="N87" s="153"/>
      <c r="O87" s="154"/>
    </row>
    <row r="88" spans="1:15" ht="15.75">
      <c r="A88" s="133" t="s">
        <v>46</v>
      </c>
      <c r="B88" s="161">
        <v>90</v>
      </c>
      <c r="C88" s="142"/>
      <c r="D88" s="109" t="e">
        <f t="shared" si="5"/>
        <v>#REF!</v>
      </c>
      <c r="E88" s="109" t="e">
        <f t="shared" si="6"/>
        <v>#REF!</v>
      </c>
      <c r="F88" s="106" t="e">
        <f t="shared" si="0"/>
        <v>#REF!</v>
      </c>
      <c r="G88" s="107" t="e">
        <f t="shared" si="4"/>
        <v>#REF!</v>
      </c>
      <c r="H88" s="143" t="e">
        <f t="shared" si="7"/>
        <v>#REF!</v>
      </c>
      <c r="I88" s="110" t="e">
        <f t="shared" si="1"/>
        <v>#REF!</v>
      </c>
      <c r="N88" s="156" t="e">
        <f>F88/(jednosložkové!$G$25-$G$26)</f>
        <v>#REF!</v>
      </c>
      <c r="O88" s="157" t="e">
        <f>N88*jednosložkové!$G$25</f>
        <v>#REF!</v>
      </c>
    </row>
    <row r="89" spans="1:14" ht="15.75">
      <c r="A89" s="133" t="s">
        <v>11</v>
      </c>
      <c r="B89" s="161">
        <v>90</v>
      </c>
      <c r="C89" s="142"/>
      <c r="D89" s="109" t="e">
        <f t="shared" si="5"/>
        <v>#REF!</v>
      </c>
      <c r="E89" s="109"/>
      <c r="F89" s="106" t="e">
        <f t="shared" si="0"/>
        <v>#REF!</v>
      </c>
      <c r="G89" s="107" t="e">
        <f t="shared" si="4"/>
        <v>#REF!</v>
      </c>
      <c r="H89" s="143"/>
      <c r="I89" s="110" t="e">
        <f t="shared" si="1"/>
        <v>#REF!</v>
      </c>
      <c r="N89" s="151"/>
    </row>
    <row r="90" spans="1:15" ht="15.75">
      <c r="A90" s="134" t="s">
        <v>12</v>
      </c>
      <c r="B90" s="162">
        <v>90</v>
      </c>
      <c r="C90" s="144"/>
      <c r="D90" s="136"/>
      <c r="E90" s="136" t="e">
        <f t="shared" si="6"/>
        <v>#REF!</v>
      </c>
      <c r="F90" s="137" t="e">
        <f t="shared" si="0"/>
        <v>#REF!</v>
      </c>
      <c r="G90" s="138"/>
      <c r="H90" s="145" t="e">
        <f t="shared" si="7"/>
        <v>#REF!</v>
      </c>
      <c r="I90" s="140" t="e">
        <f t="shared" si="1"/>
        <v>#REF!</v>
      </c>
      <c r="N90" s="153"/>
      <c r="O90" s="154"/>
    </row>
    <row r="91" spans="1:15" ht="15.75">
      <c r="A91" s="133" t="s">
        <v>46</v>
      </c>
      <c r="B91" s="161">
        <v>100</v>
      </c>
      <c r="C91" s="142"/>
      <c r="D91" s="109" t="e">
        <f t="shared" si="5"/>
        <v>#REF!</v>
      </c>
      <c r="E91" s="109" t="e">
        <f t="shared" si="6"/>
        <v>#REF!</v>
      </c>
      <c r="F91" s="106" t="e">
        <f t="shared" si="0"/>
        <v>#REF!</v>
      </c>
      <c r="G91" s="107" t="e">
        <f t="shared" si="4"/>
        <v>#REF!</v>
      </c>
      <c r="H91" s="143" t="e">
        <f t="shared" si="7"/>
        <v>#REF!</v>
      </c>
      <c r="I91" s="110" t="e">
        <f t="shared" si="1"/>
        <v>#REF!</v>
      </c>
      <c r="N91" s="156" t="e">
        <f>F91/(jednosložkové!$G$25-$G$26)</f>
        <v>#REF!</v>
      </c>
      <c r="O91" s="157" t="e">
        <f>N91*jednosložkové!$G$25</f>
        <v>#REF!</v>
      </c>
    </row>
    <row r="92" spans="1:14" ht="15.75">
      <c r="A92" s="133" t="s">
        <v>11</v>
      </c>
      <c r="B92" s="161">
        <v>100</v>
      </c>
      <c r="C92" s="142"/>
      <c r="D92" s="109" t="e">
        <f t="shared" si="5"/>
        <v>#REF!</v>
      </c>
      <c r="E92" s="109"/>
      <c r="F92" s="106" t="e">
        <f t="shared" si="0"/>
        <v>#REF!</v>
      </c>
      <c r="G92" s="107" t="e">
        <f t="shared" si="4"/>
        <v>#REF!</v>
      </c>
      <c r="H92" s="143"/>
      <c r="I92" s="110" t="e">
        <f t="shared" si="1"/>
        <v>#REF!</v>
      </c>
      <c r="N92" s="151"/>
    </row>
    <row r="93" spans="1:15" ht="15.75">
      <c r="A93" s="134" t="s">
        <v>12</v>
      </c>
      <c r="B93" s="162">
        <v>100</v>
      </c>
      <c r="C93" s="144"/>
      <c r="D93" s="136"/>
      <c r="E93" s="136" t="e">
        <f t="shared" si="6"/>
        <v>#REF!</v>
      </c>
      <c r="F93" s="137" t="e">
        <f t="shared" si="0"/>
        <v>#REF!</v>
      </c>
      <c r="G93" s="138"/>
      <c r="H93" s="145" t="e">
        <f t="shared" si="7"/>
        <v>#REF!</v>
      </c>
      <c r="I93" s="140" t="e">
        <f t="shared" si="1"/>
        <v>#REF!</v>
      </c>
      <c r="N93" s="153"/>
      <c r="O93" s="154"/>
    </row>
    <row r="94" spans="1:15" ht="15.75">
      <c r="A94" s="133" t="s">
        <v>46</v>
      </c>
      <c r="B94" s="161">
        <v>120</v>
      </c>
      <c r="C94" s="142"/>
      <c r="D94" s="109" t="e">
        <f t="shared" si="5"/>
        <v>#REF!</v>
      </c>
      <c r="E94" s="109" t="e">
        <f t="shared" si="6"/>
        <v>#REF!</v>
      </c>
      <c r="F94" s="106" t="e">
        <f t="shared" si="0"/>
        <v>#REF!</v>
      </c>
      <c r="G94" s="107" t="e">
        <f t="shared" si="4"/>
        <v>#REF!</v>
      </c>
      <c r="H94" s="143" t="e">
        <f t="shared" si="7"/>
        <v>#REF!</v>
      </c>
      <c r="I94" s="110" t="e">
        <f t="shared" si="1"/>
        <v>#REF!</v>
      </c>
      <c r="N94" s="156" t="e">
        <f>F94/(jednosložkové!$G$25-$G$26)</f>
        <v>#REF!</v>
      </c>
      <c r="O94" s="157" t="e">
        <f>N94*jednosložkové!$G$25</f>
        <v>#REF!</v>
      </c>
    </row>
    <row r="95" spans="1:14" ht="15.75">
      <c r="A95" s="133" t="s">
        <v>11</v>
      </c>
      <c r="B95" s="161">
        <v>120</v>
      </c>
      <c r="C95" s="142"/>
      <c r="D95" s="109" t="e">
        <f t="shared" si="5"/>
        <v>#REF!</v>
      </c>
      <c r="E95" s="109"/>
      <c r="F95" s="106" t="e">
        <f t="shared" si="0"/>
        <v>#REF!</v>
      </c>
      <c r="G95" s="107" t="e">
        <f t="shared" si="4"/>
        <v>#REF!</v>
      </c>
      <c r="H95" s="143"/>
      <c r="I95" s="110" t="e">
        <f t="shared" si="1"/>
        <v>#REF!</v>
      </c>
      <c r="N95" s="151"/>
    </row>
    <row r="96" spans="1:15" ht="15.75">
      <c r="A96" s="134" t="s">
        <v>12</v>
      </c>
      <c r="B96" s="162">
        <v>120</v>
      </c>
      <c r="C96" s="144"/>
      <c r="D96" s="136"/>
      <c r="E96" s="136" t="e">
        <f t="shared" si="6"/>
        <v>#REF!</v>
      </c>
      <c r="F96" s="137" t="e">
        <f t="shared" si="0"/>
        <v>#REF!</v>
      </c>
      <c r="G96" s="138"/>
      <c r="H96" s="145" t="e">
        <f t="shared" si="7"/>
        <v>#REF!</v>
      </c>
      <c r="I96" s="140" t="e">
        <f t="shared" si="1"/>
        <v>#REF!</v>
      </c>
      <c r="N96" s="153"/>
      <c r="O96" s="154"/>
    </row>
    <row r="97" spans="1:15" ht="15.75">
      <c r="A97" s="133" t="s">
        <v>46</v>
      </c>
      <c r="B97" s="161">
        <v>150</v>
      </c>
      <c r="C97" s="2"/>
      <c r="D97" s="109" t="e">
        <f>$K$29+$K$31*B97^$K$33</f>
        <v>#REF!</v>
      </c>
      <c r="E97" s="109" t="e">
        <f>$K$30+$K$32*B97^$K$34</f>
        <v>#REF!</v>
      </c>
      <c r="F97" s="106" t="e">
        <f aca="true" t="shared" si="8" ref="F97:F102">ROUND(D97,0)+ROUND(E97,0)</f>
        <v>#REF!</v>
      </c>
      <c r="G97" s="107" t="e">
        <f>C97*D97</f>
        <v>#REF!</v>
      </c>
      <c r="H97" s="143" t="e">
        <f>C97*E97</f>
        <v>#REF!</v>
      </c>
      <c r="I97" s="110" t="e">
        <f aca="true" t="shared" si="9" ref="I97:I102">ROUND(G97,0)+ROUND(H97,0)</f>
        <v>#REF!</v>
      </c>
      <c r="N97" s="156" t="e">
        <f>F97/(jednosložkové!$G$25-$G$26)</f>
        <v>#REF!</v>
      </c>
      <c r="O97" s="157" t="e">
        <f>N97*jednosložkové!$G$25</f>
        <v>#REF!</v>
      </c>
    </row>
    <row r="98" spans="1:14" ht="15.75">
      <c r="A98" s="133" t="s">
        <v>11</v>
      </c>
      <c r="B98" s="161">
        <v>150</v>
      </c>
      <c r="C98" s="2"/>
      <c r="D98" s="109" t="e">
        <f>$K$29+$K$31*B98^$K$33</f>
        <v>#REF!</v>
      </c>
      <c r="E98" s="109"/>
      <c r="F98" s="106" t="e">
        <f t="shared" si="8"/>
        <v>#REF!</v>
      </c>
      <c r="G98" s="107" t="e">
        <f>C98*D98</f>
        <v>#REF!</v>
      </c>
      <c r="H98" s="143"/>
      <c r="I98" s="110" t="e">
        <f t="shared" si="9"/>
        <v>#REF!</v>
      </c>
      <c r="N98" s="151"/>
    </row>
    <row r="99" spans="1:15" ht="15.75">
      <c r="A99" s="134" t="s">
        <v>12</v>
      </c>
      <c r="B99" s="162">
        <v>150</v>
      </c>
      <c r="C99" s="2"/>
      <c r="D99" s="136"/>
      <c r="E99" s="136" t="e">
        <f>$K$30+$K$32*B99^$K$34</f>
        <v>#REF!</v>
      </c>
      <c r="F99" s="137" t="e">
        <f t="shared" si="8"/>
        <v>#REF!</v>
      </c>
      <c r="G99" s="138"/>
      <c r="H99" s="145" t="e">
        <f>C99*E99</f>
        <v>#REF!</v>
      </c>
      <c r="I99" s="140" t="e">
        <f t="shared" si="9"/>
        <v>#REF!</v>
      </c>
      <c r="N99" s="153"/>
      <c r="O99" s="154"/>
    </row>
    <row r="100" spans="1:15" ht="15.75">
      <c r="A100" s="133" t="s">
        <v>46</v>
      </c>
      <c r="B100" s="161">
        <v>180</v>
      </c>
      <c r="C100" s="142"/>
      <c r="D100" s="109" t="e">
        <f>$K$29+$K$31*B100^$K$33</f>
        <v>#REF!</v>
      </c>
      <c r="E100" s="109" t="e">
        <f>$K$30+$K$32*B100^$K$34</f>
        <v>#REF!</v>
      </c>
      <c r="F100" s="106" t="e">
        <f t="shared" si="8"/>
        <v>#REF!</v>
      </c>
      <c r="G100" s="107" t="e">
        <f>C100*D100</f>
        <v>#REF!</v>
      </c>
      <c r="H100" s="143" t="e">
        <f>C100*E100</f>
        <v>#REF!</v>
      </c>
      <c r="I100" s="110" t="e">
        <f t="shared" si="9"/>
        <v>#REF!</v>
      </c>
      <c r="N100" s="156" t="e">
        <f>F100/(jednosložkové!$G$25-$G$26)</f>
        <v>#REF!</v>
      </c>
      <c r="O100" s="157" t="e">
        <f>N100*jednosložkové!$G$25</f>
        <v>#REF!</v>
      </c>
    </row>
    <row r="101" spans="1:14" ht="15.75">
      <c r="A101" s="133" t="s">
        <v>11</v>
      </c>
      <c r="B101" s="161">
        <v>180</v>
      </c>
      <c r="C101" s="142"/>
      <c r="D101" s="109" t="e">
        <f>$K$29+$K$31*B101^$K$33</f>
        <v>#REF!</v>
      </c>
      <c r="E101" s="109"/>
      <c r="F101" s="106" t="e">
        <f t="shared" si="8"/>
        <v>#REF!</v>
      </c>
      <c r="G101" s="107" t="e">
        <f>C101*D101</f>
        <v>#REF!</v>
      </c>
      <c r="H101" s="143"/>
      <c r="I101" s="110" t="e">
        <f t="shared" si="9"/>
        <v>#REF!</v>
      </c>
      <c r="N101" s="151"/>
    </row>
    <row r="102" spans="1:15" ht="15.75">
      <c r="A102" s="134" t="s">
        <v>12</v>
      </c>
      <c r="B102" s="162">
        <v>180</v>
      </c>
      <c r="C102" s="144"/>
      <c r="D102" s="136"/>
      <c r="E102" s="136" t="e">
        <f>$K$30+$K$32*B102^$K$34</f>
        <v>#REF!</v>
      </c>
      <c r="F102" s="137" t="e">
        <f t="shared" si="8"/>
        <v>#REF!</v>
      </c>
      <c r="G102" s="138"/>
      <c r="H102" s="145" t="e">
        <f>C102*E102</f>
        <v>#REF!</v>
      </c>
      <c r="I102" s="140" t="e">
        <f t="shared" si="9"/>
        <v>#REF!</v>
      </c>
      <c r="N102" s="153"/>
      <c r="O102" s="154"/>
    </row>
    <row r="103" spans="1:15" ht="15.75">
      <c r="A103" s="133" t="s">
        <v>46</v>
      </c>
      <c r="B103" s="161">
        <v>250</v>
      </c>
      <c r="C103" s="142"/>
      <c r="D103" s="109" t="e">
        <f>$K$29+$K$31*B103^$K$33</f>
        <v>#REF!</v>
      </c>
      <c r="E103" s="109" t="e">
        <f>$K$30+$K$32*B103^$K$34</f>
        <v>#REF!</v>
      </c>
      <c r="F103" s="106" t="e">
        <f aca="true" t="shared" si="10" ref="F103:F108">ROUND(D103,0)+ROUND(E103,0)</f>
        <v>#REF!</v>
      </c>
      <c r="G103" s="107" t="e">
        <f>C103*D103</f>
        <v>#REF!</v>
      </c>
      <c r="H103" s="143" t="e">
        <f>C103*E103</f>
        <v>#REF!</v>
      </c>
      <c r="I103" s="110" t="e">
        <f aca="true" t="shared" si="11" ref="I103:I108">ROUND(G103,0)+ROUND(H103,0)</f>
        <v>#REF!</v>
      </c>
      <c r="N103" s="156" t="e">
        <f>F103/(jednosložkové!$G$25-$G$26)</f>
        <v>#REF!</v>
      </c>
      <c r="O103" s="157" t="e">
        <f>N103*jednosložkové!$G$25</f>
        <v>#REF!</v>
      </c>
    </row>
    <row r="104" spans="1:14" ht="15.75">
      <c r="A104" s="133" t="s">
        <v>11</v>
      </c>
      <c r="B104" s="161">
        <v>250</v>
      </c>
      <c r="C104" s="142"/>
      <c r="D104" s="109" t="e">
        <f>$K$29+$K$31*B104^$K$33</f>
        <v>#REF!</v>
      </c>
      <c r="E104" s="109"/>
      <c r="F104" s="106" t="e">
        <f t="shared" si="10"/>
        <v>#REF!</v>
      </c>
      <c r="G104" s="107" t="e">
        <f>C104*D104</f>
        <v>#REF!</v>
      </c>
      <c r="H104" s="143"/>
      <c r="I104" s="110" t="e">
        <f t="shared" si="11"/>
        <v>#REF!</v>
      </c>
      <c r="N104" s="151"/>
    </row>
    <row r="105" spans="1:15" ht="15.75">
      <c r="A105" s="134" t="s">
        <v>12</v>
      </c>
      <c r="B105" s="183">
        <v>250</v>
      </c>
      <c r="C105" s="135"/>
      <c r="D105" s="136"/>
      <c r="E105" s="136" t="e">
        <f>$K$30+$K$32*B105^$K$34</f>
        <v>#REF!</v>
      </c>
      <c r="F105" s="137" t="e">
        <f t="shared" si="10"/>
        <v>#REF!</v>
      </c>
      <c r="G105" s="138"/>
      <c r="H105" s="145" t="e">
        <f>C105*E105</f>
        <v>#REF!</v>
      </c>
      <c r="I105" s="140" t="e">
        <f t="shared" si="11"/>
        <v>#REF!</v>
      </c>
      <c r="N105" s="153"/>
      <c r="O105" s="154"/>
    </row>
    <row r="106" spans="1:15" ht="15.75">
      <c r="A106" s="133" t="s">
        <v>46</v>
      </c>
      <c r="B106" s="161">
        <v>400</v>
      </c>
      <c r="C106" s="142"/>
      <c r="D106" s="109" t="e">
        <f>$K$29+$K$31*B106^$K$33</f>
        <v>#REF!</v>
      </c>
      <c r="E106" s="109" t="e">
        <f>$K$30+$K$32*B106^$K$34</f>
        <v>#REF!</v>
      </c>
      <c r="F106" s="106" t="e">
        <f t="shared" si="10"/>
        <v>#REF!</v>
      </c>
      <c r="G106" s="107" t="e">
        <f>C106*D106</f>
        <v>#REF!</v>
      </c>
      <c r="H106" s="143" t="e">
        <f>C106*E106</f>
        <v>#REF!</v>
      </c>
      <c r="I106" s="110" t="e">
        <f t="shared" si="11"/>
        <v>#REF!</v>
      </c>
      <c r="N106" s="156" t="e">
        <f>F106/(jednosložkové!$G$25-$G$26)</f>
        <v>#REF!</v>
      </c>
      <c r="O106" s="157" t="e">
        <f>N106*jednosložkové!$G$25</f>
        <v>#REF!</v>
      </c>
    </row>
    <row r="107" spans="1:14" ht="15.75">
      <c r="A107" s="133" t="s">
        <v>11</v>
      </c>
      <c r="B107" s="161">
        <v>400</v>
      </c>
      <c r="C107" s="142"/>
      <c r="D107" s="109" t="e">
        <f>$K$29+$K$31*B107^$K$33</f>
        <v>#REF!</v>
      </c>
      <c r="E107" s="109"/>
      <c r="F107" s="106" t="e">
        <f t="shared" si="10"/>
        <v>#REF!</v>
      </c>
      <c r="G107" s="107" t="e">
        <f>C107*D107</f>
        <v>#REF!</v>
      </c>
      <c r="H107" s="143"/>
      <c r="I107" s="110" t="e">
        <f t="shared" si="11"/>
        <v>#REF!</v>
      </c>
      <c r="N107" s="151"/>
    </row>
    <row r="108" spans="1:15" ht="15.75">
      <c r="A108" s="134" t="s">
        <v>12</v>
      </c>
      <c r="B108" s="183">
        <v>400</v>
      </c>
      <c r="C108" s="135"/>
      <c r="D108" s="136"/>
      <c r="E108" s="136" t="e">
        <f>$K$30+$K$32*B108^$K$34</f>
        <v>#REF!</v>
      </c>
      <c r="F108" s="137" t="e">
        <f t="shared" si="10"/>
        <v>#REF!</v>
      </c>
      <c r="G108" s="138"/>
      <c r="H108" s="145" t="e">
        <f>C108*E108</f>
        <v>#REF!</v>
      </c>
      <c r="I108" s="140" t="e">
        <f t="shared" si="11"/>
        <v>#REF!</v>
      </c>
      <c r="N108" s="153"/>
      <c r="O108" s="154"/>
    </row>
    <row r="109" spans="1:15" ht="15.75">
      <c r="A109" s="133" t="s">
        <v>46</v>
      </c>
      <c r="B109" s="161">
        <v>550</v>
      </c>
      <c r="C109" s="142"/>
      <c r="D109" s="109" t="e">
        <f>$K$29+$K$31*B109^$K$33</f>
        <v>#REF!</v>
      </c>
      <c r="E109" s="109" t="e">
        <f>$K$30+$K$32*B109^$K$34</f>
        <v>#REF!</v>
      </c>
      <c r="F109" s="106" t="e">
        <f>ROUND(D109,0)+ROUND(E109,0)</f>
        <v>#REF!</v>
      </c>
      <c r="G109" s="107" t="e">
        <f>C109*D109</f>
        <v>#REF!</v>
      </c>
      <c r="H109" s="143" t="e">
        <f>C109*E109</f>
        <v>#REF!</v>
      </c>
      <c r="I109" s="110" t="e">
        <f>ROUND(G109,0)+ROUND(H109,0)</f>
        <v>#REF!</v>
      </c>
      <c r="N109" s="156" t="e">
        <f>F109/(jednosložkové!$G$25-$G$26)</f>
        <v>#REF!</v>
      </c>
      <c r="O109" s="157" t="e">
        <f>N109*jednosložkové!$G$25</f>
        <v>#REF!</v>
      </c>
    </row>
    <row r="110" spans="1:14" ht="15.75">
      <c r="A110" s="133" t="s">
        <v>11</v>
      </c>
      <c r="B110" s="161">
        <v>550</v>
      </c>
      <c r="C110" s="142"/>
      <c r="D110" s="109" t="e">
        <f>$K$29+$K$31*B110^$K$33</f>
        <v>#REF!</v>
      </c>
      <c r="E110" s="109"/>
      <c r="F110" s="106" t="e">
        <f>ROUND(D110,0)+ROUND(E110,0)</f>
        <v>#REF!</v>
      </c>
      <c r="G110" s="107" t="e">
        <f>C110*D110</f>
        <v>#REF!</v>
      </c>
      <c r="H110" s="143"/>
      <c r="I110" s="110" t="e">
        <f>ROUND(G110,0)+ROUND(H110,0)</f>
        <v>#REF!</v>
      </c>
      <c r="N110" s="151"/>
    </row>
    <row r="111" spans="1:15" ht="15.75">
      <c r="A111" s="172" t="s">
        <v>12</v>
      </c>
      <c r="B111" s="173">
        <v>550</v>
      </c>
      <c r="C111" s="174"/>
      <c r="D111" s="175"/>
      <c r="E111" s="175" t="e">
        <f>$K$30+$K$32*B111^$K$34</f>
        <v>#REF!</v>
      </c>
      <c r="F111" s="176" t="e">
        <f>ROUND(D111,0)+ROUND(E111,0)</f>
        <v>#REF!</v>
      </c>
      <c r="G111" s="177"/>
      <c r="H111" s="178" t="e">
        <f>C111*E111</f>
        <v>#REF!</v>
      </c>
      <c r="I111" s="179" t="e">
        <f>ROUND(G111,0)+ROUND(H111,0)</f>
        <v>#REF!</v>
      </c>
      <c r="N111" s="153"/>
      <c r="O111" s="154"/>
    </row>
    <row r="112" spans="2:9" ht="15">
      <c r="B112" s="170" t="s">
        <v>55</v>
      </c>
      <c r="C112" s="169">
        <f>C34+C37+C40+C43+C46+C49+C52+C55+C58+C61+C64+C67+C70+C73+C76+C79+C82+C85+C88+C91+C94+C97+C100+C103+C106+C109</f>
        <v>20041</v>
      </c>
      <c r="D112" s="50"/>
      <c r="E112" s="104"/>
      <c r="F112" s="92" t="s">
        <v>53</v>
      </c>
      <c r="G112" s="171" t="e">
        <f>SUM(G34:G111)</f>
        <v>#REF!</v>
      </c>
      <c r="H112" s="132" t="e">
        <f>SUM(H34:H111)</f>
        <v>#REF!</v>
      </c>
      <c r="I112" s="110" t="e">
        <f>ROUND(G112,0)+ROUND(H112,0)</f>
        <v>#REF!</v>
      </c>
    </row>
    <row r="113" spans="2:9" ht="15">
      <c r="B113" s="170" t="s">
        <v>56</v>
      </c>
      <c r="C113" s="169">
        <f>C35+C38+C41+C44+C47+C50+C53+C56+C59+C62+C65+C68+C71+C74+C77+C80+C83+C86+C89+C92+C95+C98+C101+C104+C107+C110</f>
        <v>15416</v>
      </c>
      <c r="D113" s="50"/>
      <c r="E113" s="104"/>
      <c r="F113" s="92"/>
      <c r="G113" s="106"/>
      <c r="H113" s="106"/>
      <c r="I113" s="106"/>
    </row>
    <row r="114" spans="2:4" ht="15">
      <c r="B114" s="181" t="s">
        <v>57</v>
      </c>
      <c r="C114" s="182">
        <f>C36+C39+C42+C45+C48+C51+C54+C57+C60+C63+C66+C69+C72+C75+C78+C81+C84+C87+C90+C93+C96+C99+C102+C105+C108+C111</f>
        <v>532</v>
      </c>
      <c r="D114" s="94"/>
    </row>
    <row r="115" spans="2:3" ht="15">
      <c r="B115" s="170" t="s">
        <v>53</v>
      </c>
      <c r="C115" s="169">
        <f>SUM(C112:C114)</f>
        <v>35989</v>
      </c>
    </row>
    <row r="116" ht="15.75">
      <c r="D116" s="98" t="s">
        <v>43</v>
      </c>
    </row>
    <row r="117" spans="3:5" ht="18.75">
      <c r="C117" s="94"/>
      <c r="E117" s="189" t="s">
        <v>61</v>
      </c>
    </row>
    <row r="118" ht="12.75">
      <c r="E118" s="11"/>
    </row>
    <row r="119" ht="12.75">
      <c r="E119" s="11"/>
    </row>
    <row r="121" spans="1:7" ht="15.75">
      <c r="A121" s="507" t="s">
        <v>54</v>
      </c>
      <c r="B121" s="507"/>
      <c r="C121" s="507"/>
      <c r="D121" s="507"/>
      <c r="E121" s="507"/>
      <c r="F121" s="507"/>
      <c r="G121" s="507"/>
    </row>
    <row r="122" spans="2:4" ht="12.75">
      <c r="B122" s="49"/>
      <c r="C122" s="50"/>
      <c r="D122" s="82" t="s">
        <v>6</v>
      </c>
    </row>
    <row r="124" spans="2:5" ht="19.5">
      <c r="B124" s="506" t="s">
        <v>58</v>
      </c>
      <c r="C124" s="506"/>
      <c r="D124" s="164" t="e">
        <f>zadání!C22</f>
        <v>#REF!</v>
      </c>
      <c r="E124" s="99" t="s">
        <v>30</v>
      </c>
    </row>
    <row r="125" spans="2:7" ht="18.75">
      <c r="B125" s="506" t="s">
        <v>41</v>
      </c>
      <c r="C125" s="506"/>
      <c r="D125" s="165" t="e">
        <f>D124*(jednosložkové!G20-G24)</f>
        <v>#REF!</v>
      </c>
      <c r="E125" s="99" t="s">
        <v>39</v>
      </c>
      <c r="G125" s="6" t="e">
        <f>+D125/D124</f>
        <v>#REF!</v>
      </c>
    </row>
    <row r="65536" ht="12.75">
      <c r="IV65536" s="63" t="s">
        <v>19</v>
      </c>
    </row>
  </sheetData>
  <sheetProtection sheet="1" objects="1" scenarios="1"/>
  <mergeCells count="28">
    <mergeCell ref="B125:C125"/>
    <mergeCell ref="A29:H29"/>
    <mergeCell ref="J35:K35"/>
    <mergeCell ref="G32:I32"/>
    <mergeCell ref="J39:L39"/>
    <mergeCell ref="B124:C124"/>
    <mergeCell ref="F31:H31"/>
    <mergeCell ref="B32:C32"/>
    <mergeCell ref="D32:F32"/>
    <mergeCell ref="A121:G121"/>
    <mergeCell ref="A30:A33"/>
    <mergeCell ref="F30:H30"/>
    <mergeCell ref="I21:J21"/>
    <mergeCell ref="B19:F19"/>
    <mergeCell ref="B20:F20"/>
    <mergeCell ref="B11:F11"/>
    <mergeCell ref="B12:F12"/>
    <mergeCell ref="B15:F15"/>
    <mergeCell ref="B16:F16"/>
    <mergeCell ref="B18:F18"/>
    <mergeCell ref="B1:H1"/>
    <mergeCell ref="H3:I3"/>
    <mergeCell ref="B17:F17"/>
    <mergeCell ref="B10:F10"/>
    <mergeCell ref="B4:F4"/>
    <mergeCell ref="B7:F7"/>
    <mergeCell ref="B8:F8"/>
    <mergeCell ref="B9:F9"/>
  </mergeCells>
  <hyperlinks>
    <hyperlink ref="J39" location="manuál!A1" display="MANUÁL"/>
  </hyperlinks>
  <printOptions horizontalCentered="1"/>
  <pageMargins left="0.7874015748031497" right="0.7874015748031497" top="0.3937007874015748" bottom="0.3937007874015748" header="0" footer="0"/>
  <pageSetup fitToHeight="1" fitToWidth="1" horizontalDpi="300" verticalDpi="300" orientation="portrait" paperSize="9" scale="3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indexed="13"/>
    <pageSetUpPr fitToPage="1"/>
  </sheetPr>
  <dimension ref="A4:I32"/>
  <sheetViews>
    <sheetView showGridLines="0" zoomScale="90" zoomScaleNormal="90" zoomScalePageLayoutView="0" workbookViewId="0" topLeftCell="A2">
      <selection activeCell="F39" sqref="F39"/>
    </sheetView>
  </sheetViews>
  <sheetFormatPr defaultColWidth="9.00390625" defaultRowHeight="12.75"/>
  <cols>
    <col min="1" max="1" width="9.375" style="29" customWidth="1"/>
    <col min="2" max="2" width="82.625" style="29" customWidth="1"/>
    <col min="3" max="3" width="18.75390625" style="29" bestFit="1" customWidth="1"/>
    <col min="4" max="4" width="12.75390625" style="29" bestFit="1" customWidth="1"/>
    <col min="5" max="6" width="9.125" style="29" customWidth="1"/>
    <col min="7" max="7" width="14.125" style="29" bestFit="1" customWidth="1"/>
    <col min="8" max="16384" width="9.125" style="29" customWidth="1"/>
  </cols>
  <sheetData>
    <row r="4" spans="2:4" ht="15">
      <c r="B4" s="428" t="s">
        <v>210</v>
      </c>
      <c r="C4" s="428"/>
      <c r="D4" s="428"/>
    </row>
    <row r="6" spans="3:4" ht="18">
      <c r="C6" s="429">
        <v>2019</v>
      </c>
      <c r="D6" s="429"/>
    </row>
    <row r="8" spans="2:9" ht="26.25">
      <c r="B8" s="427" t="s">
        <v>26</v>
      </c>
      <c r="C8" s="427"/>
      <c r="D8" s="427"/>
      <c r="E8" s="27"/>
      <c r="F8" s="28"/>
      <c r="G8" s="27"/>
      <c r="H8" s="27"/>
      <c r="I8" s="27"/>
    </row>
    <row r="9" spans="2:9" ht="15.75">
      <c r="B9" s="27"/>
      <c r="C9" s="30"/>
      <c r="D9" s="30"/>
      <c r="E9" s="30"/>
      <c r="F9" s="30"/>
      <c r="G9" s="27"/>
      <c r="H9" s="31"/>
      <c r="I9" s="27"/>
    </row>
    <row r="10" spans="2:6" ht="12.75">
      <c r="B10" s="426" t="s">
        <v>91</v>
      </c>
      <c r="C10" s="426"/>
      <c r="D10" s="426"/>
      <c r="E10" s="32"/>
      <c r="F10" s="33"/>
    </row>
    <row r="11" spans="2:6" ht="15">
      <c r="B11" s="27"/>
      <c r="C11" s="34"/>
      <c r="D11" s="35"/>
      <c r="E11" s="27"/>
      <c r="F11" s="27"/>
    </row>
    <row r="12" spans="2:6" ht="15.75">
      <c r="B12" s="36" t="s">
        <v>22</v>
      </c>
      <c r="C12" s="209" t="s">
        <v>14</v>
      </c>
      <c r="D12" s="37"/>
      <c r="E12" s="28"/>
      <c r="F12" s="27"/>
    </row>
    <row r="13" spans="2:6" ht="15.75">
      <c r="B13" s="36" t="s">
        <v>81</v>
      </c>
      <c r="C13" s="117" t="e">
        <f>#REF!*1000</f>
        <v>#REF!</v>
      </c>
      <c r="D13" s="38" t="s">
        <v>27</v>
      </c>
      <c r="E13" s="28"/>
      <c r="F13" s="27"/>
    </row>
    <row r="14" spans="2:6" ht="15.75">
      <c r="B14" s="36" t="s">
        <v>78</v>
      </c>
      <c r="C14" s="117" t="e">
        <f>+#REF!*1000</f>
        <v>#REF!</v>
      </c>
      <c r="D14" s="38" t="s">
        <v>28</v>
      </c>
      <c r="E14" s="39" t="e">
        <f>C14/C13</f>
        <v>#REF!</v>
      </c>
      <c r="F14" s="40"/>
    </row>
    <row r="15" spans="2:6" ht="18.75">
      <c r="B15" s="36" t="s">
        <v>83</v>
      </c>
      <c r="C15" s="121" t="e">
        <f>+#REF!*1000</f>
        <v>#REF!</v>
      </c>
      <c r="D15" s="41" t="s">
        <v>30</v>
      </c>
      <c r="E15" s="42"/>
      <c r="F15" s="40"/>
    </row>
    <row r="16" spans="2:6" ht="15.75">
      <c r="B16" s="36" t="s">
        <v>92</v>
      </c>
      <c r="C16" s="233">
        <v>0.07554854872825038</v>
      </c>
      <c r="D16" s="37"/>
      <c r="E16" s="42"/>
      <c r="F16" s="40"/>
    </row>
    <row r="17" spans="2:6" ht="15.75">
      <c r="B17" s="36"/>
      <c r="C17" s="210"/>
      <c r="D17" s="37"/>
      <c r="E17" s="42"/>
      <c r="F17" s="40"/>
    </row>
    <row r="18" spans="2:6" ht="15.75">
      <c r="B18" s="36" t="s">
        <v>23</v>
      </c>
      <c r="C18" s="209" t="s">
        <v>14</v>
      </c>
      <c r="D18" s="37"/>
      <c r="E18" s="42"/>
      <c r="F18" s="40"/>
    </row>
    <row r="19" spans="2:6" ht="15.75">
      <c r="B19" s="43" t="s">
        <v>84</v>
      </c>
      <c r="C19" s="117" t="e">
        <f>+#REF!*1000</f>
        <v>#REF!</v>
      </c>
      <c r="D19" s="38" t="s">
        <v>27</v>
      </c>
      <c r="E19" s="42"/>
      <c r="F19" s="40"/>
    </row>
    <row r="20" spans="2:6" ht="15.75">
      <c r="B20" s="43" t="s">
        <v>85</v>
      </c>
      <c r="C20" s="117" t="e">
        <f>+#REF!*1000</f>
        <v>#REF!</v>
      </c>
      <c r="D20" s="38" t="s">
        <v>28</v>
      </c>
      <c r="E20" s="39" t="e">
        <f>C20/C19</f>
        <v>#REF!</v>
      </c>
      <c r="F20" s="40"/>
    </row>
    <row r="21" spans="2:6" ht="18.75">
      <c r="B21" s="43" t="s">
        <v>76</v>
      </c>
      <c r="C21" s="121" t="e">
        <f>+#REF!*1000</f>
        <v>#REF!</v>
      </c>
      <c r="D21" s="41" t="s">
        <v>30</v>
      </c>
      <c r="E21" s="28"/>
      <c r="F21" s="27"/>
    </row>
    <row r="22" spans="2:6" ht="18.75">
      <c r="B22" s="163" t="s">
        <v>52</v>
      </c>
      <c r="C22" s="121" t="e">
        <f>+#REF!*1000</f>
        <v>#REF!</v>
      </c>
      <c r="D22" s="41" t="s">
        <v>30</v>
      </c>
      <c r="E22" s="28"/>
      <c r="F22" s="27"/>
    </row>
    <row r="23" spans="2:6" ht="15.75">
      <c r="B23" s="36" t="s">
        <v>93</v>
      </c>
      <c r="C23" s="232">
        <v>0.05462742681704867</v>
      </c>
      <c r="D23" s="37"/>
      <c r="E23" s="28"/>
      <c r="F23" s="40"/>
    </row>
    <row r="24" spans="2:5" ht="12.75">
      <c r="B24" s="28"/>
      <c r="C24" s="44"/>
      <c r="D24" s="28"/>
      <c r="E24" s="28"/>
    </row>
    <row r="25" spans="2:5" ht="12.75">
      <c r="B25" s="28"/>
      <c r="C25" s="209" t="s">
        <v>14</v>
      </c>
      <c r="D25" s="28"/>
      <c r="E25" s="28"/>
    </row>
    <row r="26" spans="2:5" ht="15.75">
      <c r="B26" s="36" t="s">
        <v>94</v>
      </c>
      <c r="C26" s="118" t="e">
        <f>C13+C14+C19+C20</f>
        <v>#REF!</v>
      </c>
      <c r="D26" s="45" t="s">
        <v>27</v>
      </c>
      <c r="E26" s="28"/>
    </row>
    <row r="29" ht="12.75"/>
    <row r="30" ht="15.75">
      <c r="D30" s="212" t="s">
        <v>0</v>
      </c>
    </row>
    <row r="31" ht="12.75"/>
    <row r="32" spans="1:2" ht="12.75">
      <c r="A32" s="46"/>
      <c r="B32" s="47" t="s">
        <v>40</v>
      </c>
    </row>
  </sheetData>
  <sheetProtection/>
  <mergeCells count="4">
    <mergeCell ref="B10:D10"/>
    <mergeCell ref="B8:D8"/>
    <mergeCell ref="B4:D4"/>
    <mergeCell ref="C6:D6"/>
  </mergeCells>
  <hyperlinks>
    <hyperlink ref="D30" location="manuál!A1" display="MANUÁL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IV65534"/>
  <sheetViews>
    <sheetView showGridLines="0" showRowColHeaders="0" zoomScale="110" zoomScaleNormal="110" zoomScalePageLayoutView="0" workbookViewId="0" topLeftCell="A1">
      <selection activeCell="G11" sqref="G11"/>
    </sheetView>
  </sheetViews>
  <sheetFormatPr defaultColWidth="12.625" defaultRowHeight="12.75"/>
  <cols>
    <col min="1" max="1" width="2.25390625" style="6" customWidth="1"/>
    <col min="2" max="2" width="37.25390625" style="6" customWidth="1"/>
    <col min="3" max="3" width="6.625" style="6" customWidth="1"/>
    <col min="4" max="4" width="15.125" style="6" customWidth="1"/>
    <col min="5" max="5" width="7.875" style="6" customWidth="1"/>
    <col min="6" max="6" width="7.75390625" style="6" customWidth="1"/>
    <col min="7" max="7" width="8.875" style="6" customWidth="1"/>
    <col min="8" max="8" width="8.00390625" style="6" bestFit="1" customWidth="1"/>
    <col min="9" max="9" width="15.125" style="6" bestFit="1" customWidth="1"/>
    <col min="10" max="10" width="10.00390625" style="6" bestFit="1" customWidth="1"/>
    <col min="11" max="11" width="6.875" style="6" customWidth="1"/>
    <col min="12" max="16384" width="12.625" style="6" customWidth="1"/>
  </cols>
  <sheetData>
    <row r="1" spans="2:11" ht="15.75">
      <c r="B1" s="430" t="str">
        <f>zadání!B4</f>
        <v>Královéhradecká provozní, a.s.</v>
      </c>
      <c r="C1" s="430"/>
      <c r="D1" s="430"/>
      <c r="E1" s="430"/>
      <c r="F1" s="430"/>
      <c r="G1" s="430"/>
      <c r="H1" s="430"/>
      <c r="I1" s="430"/>
      <c r="J1" s="430"/>
      <c r="K1" s="15"/>
    </row>
    <row r="3" spans="2:10" ht="20.25">
      <c r="B3" s="16" t="s">
        <v>20</v>
      </c>
      <c r="I3" s="431">
        <f>zadání!C6</f>
        <v>2019</v>
      </c>
      <c r="J3" s="431"/>
    </row>
    <row r="4" ht="15">
      <c r="C4" s="17"/>
    </row>
    <row r="5" spans="2:9" ht="13.5" thickBot="1">
      <c r="B5" s="18" t="s">
        <v>13</v>
      </c>
      <c r="I5" s="19"/>
    </row>
    <row r="6" ht="15.75" thickTop="1">
      <c r="B6" s="20"/>
    </row>
    <row r="7" spans="2:10" ht="12.75">
      <c r="B7" s="433" t="s">
        <v>81</v>
      </c>
      <c r="C7" s="433"/>
      <c r="D7" s="433"/>
      <c r="E7" s="433"/>
      <c r="F7" s="433"/>
      <c r="G7" s="433"/>
      <c r="H7" s="433"/>
      <c r="I7" s="115" t="e">
        <f>'dvousl. - vdm.'!G7</f>
        <v>#REF!</v>
      </c>
      <c r="J7" s="11" t="s">
        <v>27</v>
      </c>
    </row>
    <row r="8" spans="2:11" ht="12.75">
      <c r="B8" s="433" t="s">
        <v>82</v>
      </c>
      <c r="C8" s="433"/>
      <c r="D8" s="433"/>
      <c r="E8" s="433"/>
      <c r="F8" s="433"/>
      <c r="G8" s="433"/>
      <c r="H8" s="433"/>
      <c r="I8" s="115" t="e">
        <f>'dvousl. - vdm.'!G8</f>
        <v>#REF!</v>
      </c>
      <c r="J8" s="11" t="s">
        <v>37</v>
      </c>
      <c r="K8" s="12" t="e">
        <f>I8/I7</f>
        <v>#REF!</v>
      </c>
    </row>
    <row r="9" spans="2:10" ht="14.25">
      <c r="B9" s="434" t="s">
        <v>83</v>
      </c>
      <c r="C9" s="434"/>
      <c r="D9" s="434"/>
      <c r="E9" s="434"/>
      <c r="F9" s="434"/>
      <c r="G9" s="434"/>
      <c r="H9" s="434"/>
      <c r="I9" s="119" t="e">
        <f>'dvousl. - vdm.'!G9</f>
        <v>#REF!</v>
      </c>
      <c r="J9" s="11" t="s">
        <v>38</v>
      </c>
    </row>
    <row r="10" spans="2:10" ht="15">
      <c r="B10" s="7"/>
      <c r="C10" s="7"/>
      <c r="D10" s="7"/>
      <c r="E10" s="7"/>
      <c r="F10" s="7"/>
      <c r="G10" s="7"/>
      <c r="H10" s="7"/>
      <c r="I10" s="7"/>
      <c r="J10" s="7"/>
    </row>
    <row r="11" spans="2:11" ht="18.75">
      <c r="B11" s="11"/>
      <c r="G11" s="3" t="e">
        <f>ROUND((I7+I8)/I9,2)</f>
        <v>#REF!</v>
      </c>
      <c r="H11" s="21" t="s">
        <v>17</v>
      </c>
      <c r="I11" s="208" t="s">
        <v>14</v>
      </c>
      <c r="K11" s="12"/>
    </row>
    <row r="12" spans="2:11" ht="14.25">
      <c r="B12" s="14"/>
      <c r="G12" s="4" t="e">
        <f>ROUND(G11*1.05,2)</f>
        <v>#REF!</v>
      </c>
      <c r="H12" s="22" t="s">
        <v>33</v>
      </c>
      <c r="I12" s="13" t="s">
        <v>32</v>
      </c>
      <c r="K12" s="12"/>
    </row>
    <row r="13" spans="7:8" ht="15">
      <c r="G13" s="5"/>
      <c r="H13" s="5"/>
    </row>
    <row r="14" ht="13.5" thickBot="1">
      <c r="B14" s="18" t="s">
        <v>15</v>
      </c>
    </row>
    <row r="15" ht="15.75" thickTop="1">
      <c r="B15" s="20"/>
    </row>
    <row r="16" spans="2:10" ht="12.75">
      <c r="B16" s="435" t="s">
        <v>84</v>
      </c>
      <c r="C16" s="435"/>
      <c r="D16" s="435"/>
      <c r="E16" s="435"/>
      <c r="F16" s="435"/>
      <c r="G16" s="435"/>
      <c r="H16" s="435"/>
      <c r="I16" s="116" t="e">
        <f>'dvousl. - vdm.'!G15</f>
        <v>#REF!</v>
      </c>
      <c r="J16" s="11" t="s">
        <v>27</v>
      </c>
    </row>
    <row r="17" spans="2:11" ht="12.75">
      <c r="B17" s="435" t="s">
        <v>85</v>
      </c>
      <c r="C17" s="435"/>
      <c r="D17" s="435"/>
      <c r="E17" s="435"/>
      <c r="F17" s="435"/>
      <c r="G17" s="435"/>
      <c r="H17" s="435"/>
      <c r="I17" s="116" t="e">
        <f>'dvousl. - vdm.'!G16</f>
        <v>#REF!</v>
      </c>
      <c r="J17" s="11" t="s">
        <v>37</v>
      </c>
      <c r="K17" s="12" t="e">
        <f>I17/I16</f>
        <v>#REF!</v>
      </c>
    </row>
    <row r="18" spans="2:10" ht="14.25">
      <c r="B18" s="436" t="s">
        <v>76</v>
      </c>
      <c r="C18" s="436"/>
      <c r="D18" s="436"/>
      <c r="E18" s="436"/>
      <c r="F18" s="436"/>
      <c r="G18" s="436"/>
      <c r="H18" s="436"/>
      <c r="I18" s="120" t="e">
        <f>'dvousl. - vdm.'!G17</f>
        <v>#REF!</v>
      </c>
      <c r="J18" s="11" t="s">
        <v>38</v>
      </c>
    </row>
    <row r="19" spans="2:10" ht="15">
      <c r="B19" s="7"/>
      <c r="C19" s="7"/>
      <c r="D19" s="7"/>
      <c r="E19" s="7"/>
      <c r="F19" s="7"/>
      <c r="G19" s="7"/>
      <c r="H19" s="7"/>
      <c r="I19" s="7"/>
      <c r="J19" s="7"/>
    </row>
    <row r="20" spans="2:11" ht="18.75">
      <c r="B20" s="11"/>
      <c r="G20" s="3" t="e">
        <f>ROUND((I16+I17)/I18,2)</f>
        <v>#REF!</v>
      </c>
      <c r="H20" s="21" t="s">
        <v>17</v>
      </c>
      <c r="I20" s="208" t="s">
        <v>14</v>
      </c>
      <c r="J20" s="432" t="s">
        <v>0</v>
      </c>
      <c r="K20" s="432"/>
    </row>
    <row r="21" spans="2:11" ht="12.75">
      <c r="B21" s="14"/>
      <c r="G21" s="4" t="e">
        <f>ROUND(G20*1.05,2)</f>
        <v>#REF!</v>
      </c>
      <c r="H21" s="22" t="s">
        <v>33</v>
      </c>
      <c r="I21" s="13" t="s">
        <v>32</v>
      </c>
      <c r="K21" s="12"/>
    </row>
    <row r="22" spans="2:11" ht="15">
      <c r="B22" s="14"/>
      <c r="G22" s="8"/>
      <c r="H22" s="23"/>
      <c r="I22" s="23"/>
      <c r="K22" s="12"/>
    </row>
    <row r="23" spans="2:11" ht="15.75" thickBot="1">
      <c r="B23" s="24" t="s">
        <v>16</v>
      </c>
      <c r="C23" s="25"/>
      <c r="G23" s="8"/>
      <c r="K23" s="12"/>
    </row>
    <row r="24" spans="7:8" ht="16.5" thickBot="1" thickTop="1">
      <c r="G24" s="5"/>
      <c r="H24" s="5"/>
    </row>
    <row r="25" spans="2:11" ht="20.25" thickBot="1" thickTop="1">
      <c r="B25" s="211" t="s">
        <v>77</v>
      </c>
      <c r="G25" s="9" t="e">
        <f>G11+G20</f>
        <v>#REF!</v>
      </c>
      <c r="H25" s="207" t="s">
        <v>17</v>
      </c>
      <c r="I25" s="13" t="s">
        <v>14</v>
      </c>
      <c r="K25" s="12"/>
    </row>
    <row r="26" spans="2:10" ht="15.75" thickTop="1">
      <c r="B26" s="11" t="s">
        <v>77</v>
      </c>
      <c r="G26" s="10" t="e">
        <f>G12+G21</f>
        <v>#REF!</v>
      </c>
      <c r="H26" s="26" t="s">
        <v>34</v>
      </c>
      <c r="I26" s="13" t="s">
        <v>32</v>
      </c>
      <c r="J26" s="12"/>
    </row>
    <row r="27" spans="7:8" ht="15.75">
      <c r="G27" s="48"/>
      <c r="H27" s="48"/>
    </row>
    <row r="28" spans="2:11" ht="15.75">
      <c r="B28" s="49"/>
      <c r="C28" s="50"/>
      <c r="D28" s="50"/>
      <c r="E28" s="50"/>
      <c r="F28" s="50"/>
      <c r="G28" s="51"/>
      <c r="H28" s="52"/>
      <c r="I28" s="5"/>
      <c r="J28" s="50"/>
      <c r="K28" s="53"/>
    </row>
    <row r="29" spans="2:11" ht="15.75">
      <c r="B29" s="49"/>
      <c r="C29" s="50"/>
      <c r="D29" s="50"/>
      <c r="E29" s="50"/>
      <c r="F29" s="50"/>
      <c r="G29" s="51"/>
      <c r="H29" s="52"/>
      <c r="I29" s="5"/>
      <c r="J29" s="53"/>
      <c r="K29" s="50"/>
    </row>
    <row r="30" spans="7:8" ht="15">
      <c r="G30" s="5"/>
      <c r="H30" s="5"/>
    </row>
    <row r="31" spans="7:8" ht="15">
      <c r="G31" s="5"/>
      <c r="H31" s="5"/>
    </row>
    <row r="32" spans="7:8" ht="12.75">
      <c r="G32" s="54"/>
      <c r="H32" s="54"/>
    </row>
    <row r="33" spans="4:11" ht="12.75">
      <c r="D33" s="50"/>
      <c r="E33" s="50"/>
      <c r="F33" s="55"/>
      <c r="G33" s="55"/>
      <c r="H33" s="50"/>
      <c r="I33" s="50"/>
      <c r="J33" s="50"/>
      <c r="K33" s="50"/>
    </row>
    <row r="34" spans="4:11" ht="12.75">
      <c r="D34" s="56"/>
      <c r="E34" s="49"/>
      <c r="F34" s="57"/>
      <c r="G34" s="57"/>
      <c r="H34" s="13"/>
      <c r="I34" s="50"/>
      <c r="J34" s="50"/>
      <c r="K34" s="53"/>
    </row>
    <row r="35" spans="4:11" ht="12.75">
      <c r="D35" s="50"/>
      <c r="E35" s="49"/>
      <c r="F35" s="58"/>
      <c r="G35" s="58"/>
      <c r="H35" s="49"/>
      <c r="I35" s="50"/>
      <c r="J35" s="50"/>
      <c r="K35" s="53"/>
    </row>
    <row r="36" spans="4:11" ht="15">
      <c r="D36" s="23"/>
      <c r="E36" s="5"/>
      <c r="F36" s="8"/>
      <c r="G36" s="8"/>
      <c r="H36" s="23"/>
      <c r="I36" s="5"/>
      <c r="J36" s="50"/>
      <c r="K36" s="59"/>
    </row>
    <row r="39" spans="2:3" ht="12.75">
      <c r="B39" s="14"/>
      <c r="C39" s="14"/>
    </row>
    <row r="40" ht="12.75">
      <c r="C40" s="14"/>
    </row>
    <row r="47" spans="2:11" ht="12.75">
      <c r="B47" s="49"/>
      <c r="C47" s="50"/>
      <c r="D47" s="50"/>
      <c r="E47" s="50"/>
      <c r="F47" s="50"/>
      <c r="G47" s="50"/>
      <c r="H47" s="50"/>
      <c r="I47" s="50"/>
      <c r="J47" s="50"/>
      <c r="K47" s="50"/>
    </row>
    <row r="48" spans="2:11" ht="15">
      <c r="B48" s="5"/>
      <c r="C48" s="5"/>
      <c r="D48" s="5"/>
      <c r="E48" s="50"/>
      <c r="F48" s="50"/>
      <c r="G48" s="50"/>
      <c r="H48" s="50"/>
      <c r="I48" s="50"/>
      <c r="J48" s="50"/>
      <c r="K48" s="50"/>
    </row>
    <row r="49" spans="2:11" ht="12.75">
      <c r="B49" s="49"/>
      <c r="C49" s="50"/>
      <c r="D49" s="50"/>
      <c r="E49" s="50"/>
      <c r="F49" s="50"/>
      <c r="G49" s="50"/>
      <c r="H49" s="50"/>
      <c r="I49" s="60"/>
      <c r="J49" s="49"/>
      <c r="K49" s="50"/>
    </row>
    <row r="50" spans="2:11" ht="12.75">
      <c r="B50" s="49"/>
      <c r="C50" s="50"/>
      <c r="D50" s="50"/>
      <c r="E50" s="50"/>
      <c r="F50" s="50"/>
      <c r="G50" s="50"/>
      <c r="H50" s="50"/>
      <c r="I50" s="60"/>
      <c r="J50" s="49"/>
      <c r="K50" s="50"/>
    </row>
    <row r="51" spans="2:11" ht="12.75">
      <c r="B51" s="49"/>
      <c r="C51" s="50"/>
      <c r="D51" s="50"/>
      <c r="E51" s="50"/>
      <c r="F51" s="50"/>
      <c r="G51" s="50"/>
      <c r="H51" s="50"/>
      <c r="I51" s="60"/>
      <c r="J51" s="49"/>
      <c r="K51" s="50"/>
    </row>
    <row r="52" spans="2:11" ht="15">
      <c r="B52" s="5"/>
      <c r="C52" s="5"/>
      <c r="D52" s="5"/>
      <c r="E52" s="5"/>
      <c r="F52" s="5"/>
      <c r="G52" s="5"/>
      <c r="H52" s="5"/>
      <c r="I52" s="5"/>
      <c r="J52" s="5"/>
      <c r="K52" s="50"/>
    </row>
    <row r="53" spans="2:11" ht="15">
      <c r="B53" s="49"/>
      <c r="C53" s="50"/>
      <c r="D53" s="50"/>
      <c r="E53" s="50"/>
      <c r="F53" s="50"/>
      <c r="G53" s="8"/>
      <c r="H53" s="23"/>
      <c r="I53" s="5"/>
      <c r="J53" s="50"/>
      <c r="K53" s="50"/>
    </row>
    <row r="54" spans="2:11" ht="15">
      <c r="B54" s="49"/>
      <c r="C54" s="50"/>
      <c r="D54" s="50"/>
      <c r="E54" s="50"/>
      <c r="F54" s="50"/>
      <c r="G54" s="8"/>
      <c r="H54" s="23"/>
      <c r="I54" s="5"/>
      <c r="J54" s="50"/>
      <c r="K54" s="50"/>
    </row>
    <row r="55" spans="2:11" ht="15">
      <c r="B55" s="50"/>
      <c r="C55" s="50"/>
      <c r="D55" s="50"/>
      <c r="E55" s="50"/>
      <c r="F55" s="50"/>
      <c r="G55" s="5"/>
      <c r="H55" s="5"/>
      <c r="I55" s="50"/>
      <c r="J55" s="50"/>
      <c r="K55" s="50"/>
    </row>
    <row r="56" spans="2:11" ht="12.75">
      <c r="B56" s="50"/>
      <c r="C56" s="50"/>
      <c r="D56" s="50"/>
      <c r="E56" s="50"/>
      <c r="F56" s="50"/>
      <c r="G56" s="50"/>
      <c r="H56" s="50"/>
      <c r="I56" s="50"/>
      <c r="J56" s="50"/>
      <c r="K56" s="50"/>
    </row>
    <row r="58" spans="1:9" ht="20.25">
      <c r="A58" s="50"/>
      <c r="B58" s="61"/>
      <c r="C58" s="50"/>
      <c r="D58" s="50"/>
      <c r="E58" s="50"/>
      <c r="F58" s="50"/>
      <c r="G58" s="50"/>
      <c r="H58" s="50"/>
      <c r="I58" s="50"/>
    </row>
    <row r="59" spans="1:9" ht="12.75">
      <c r="A59" s="50"/>
      <c r="B59" s="50"/>
      <c r="C59" s="50"/>
      <c r="D59" s="50"/>
      <c r="E59" s="50"/>
      <c r="F59" s="50"/>
      <c r="G59" s="50"/>
      <c r="H59" s="50"/>
      <c r="I59" s="50"/>
    </row>
    <row r="60" spans="1:9" ht="15">
      <c r="A60" s="50"/>
      <c r="B60" s="49"/>
      <c r="C60" s="50"/>
      <c r="D60" s="50"/>
      <c r="E60" s="62"/>
      <c r="F60" s="62"/>
      <c r="G60" s="62"/>
      <c r="H60" s="62"/>
      <c r="I60" s="50"/>
    </row>
    <row r="61" spans="1:9" ht="15">
      <c r="A61" s="50"/>
      <c r="B61" s="23"/>
      <c r="C61" s="5"/>
      <c r="D61" s="5"/>
      <c r="E61" s="5"/>
      <c r="F61" s="5"/>
      <c r="G61" s="5"/>
      <c r="H61" s="5"/>
      <c r="I61" s="50"/>
    </row>
    <row r="62" spans="1:9" ht="15">
      <c r="A62" s="50"/>
      <c r="B62" s="49"/>
      <c r="C62" s="50"/>
      <c r="D62" s="50"/>
      <c r="E62" s="5"/>
      <c r="F62" s="5"/>
      <c r="G62" s="5"/>
      <c r="H62" s="5"/>
      <c r="I62" s="50"/>
    </row>
    <row r="63" spans="1:9" ht="15">
      <c r="A63" s="50"/>
      <c r="B63" s="49"/>
      <c r="C63" s="50"/>
      <c r="D63" s="50"/>
      <c r="E63" s="5"/>
      <c r="F63" s="5"/>
      <c r="G63" s="5"/>
      <c r="H63" s="5"/>
      <c r="I63" s="50"/>
    </row>
    <row r="64" spans="1:9" ht="15">
      <c r="A64" s="50"/>
      <c r="B64" s="23"/>
      <c r="C64" s="5"/>
      <c r="D64" s="5"/>
      <c r="E64" s="5"/>
      <c r="F64" s="5"/>
      <c r="G64" s="5"/>
      <c r="H64" s="5"/>
      <c r="I64" s="50"/>
    </row>
    <row r="65" spans="1:9" ht="15">
      <c r="A65" s="50"/>
      <c r="B65" s="49"/>
      <c r="C65" s="50"/>
      <c r="D65" s="50"/>
      <c r="E65" s="5"/>
      <c r="F65" s="5"/>
      <c r="G65" s="5"/>
      <c r="H65" s="5"/>
      <c r="I65" s="50"/>
    </row>
    <row r="66" spans="1:9" ht="15">
      <c r="A66" s="50"/>
      <c r="B66" s="49"/>
      <c r="C66" s="50"/>
      <c r="D66" s="50"/>
      <c r="E66" s="5"/>
      <c r="F66" s="5"/>
      <c r="G66" s="5"/>
      <c r="H66" s="5"/>
      <c r="I66" s="50"/>
    </row>
    <row r="67" spans="1:9" ht="15">
      <c r="A67" s="50"/>
      <c r="B67" s="23"/>
      <c r="C67" s="5"/>
      <c r="D67" s="5"/>
      <c r="E67" s="5"/>
      <c r="F67" s="5"/>
      <c r="G67" s="5"/>
      <c r="H67" s="5"/>
      <c r="I67" s="50"/>
    </row>
    <row r="68" spans="1:9" ht="15">
      <c r="A68" s="50"/>
      <c r="B68" s="49"/>
      <c r="C68" s="50"/>
      <c r="D68" s="50"/>
      <c r="E68" s="5"/>
      <c r="F68" s="5"/>
      <c r="G68" s="5"/>
      <c r="H68" s="5"/>
      <c r="I68" s="50"/>
    </row>
    <row r="69" spans="1:9" ht="15">
      <c r="A69" s="50"/>
      <c r="B69" s="49"/>
      <c r="C69" s="50"/>
      <c r="D69" s="50"/>
      <c r="E69" s="5"/>
      <c r="F69" s="5"/>
      <c r="G69" s="5"/>
      <c r="H69" s="5"/>
      <c r="I69" s="50"/>
    </row>
    <row r="70" spans="1:9" ht="15">
      <c r="A70" s="50"/>
      <c r="B70" s="23"/>
      <c r="C70" s="5"/>
      <c r="D70" s="5"/>
      <c r="E70" s="5"/>
      <c r="F70" s="5"/>
      <c r="G70" s="5"/>
      <c r="H70" s="5"/>
      <c r="I70" s="50"/>
    </row>
    <row r="71" spans="1:9" ht="12.75">
      <c r="A71" s="50"/>
      <c r="B71" s="50"/>
      <c r="C71" s="50"/>
      <c r="D71" s="50"/>
      <c r="E71" s="50"/>
      <c r="F71" s="50"/>
      <c r="G71" s="50"/>
      <c r="H71" s="50"/>
      <c r="I71" s="50"/>
    </row>
    <row r="72" spans="1:9" ht="12.75">
      <c r="A72" s="50"/>
      <c r="B72" s="49"/>
      <c r="C72" s="50"/>
      <c r="D72" s="50"/>
      <c r="E72" s="50"/>
      <c r="F72" s="50"/>
      <c r="G72" s="50"/>
      <c r="H72" s="50"/>
      <c r="I72" s="50"/>
    </row>
    <row r="73" spans="1:9" ht="15">
      <c r="A73" s="50"/>
      <c r="B73" s="23"/>
      <c r="C73" s="5"/>
      <c r="D73" s="5"/>
      <c r="E73" s="5"/>
      <c r="F73" s="5"/>
      <c r="G73" s="5"/>
      <c r="H73" s="5"/>
      <c r="I73" s="50"/>
    </row>
    <row r="74" spans="1:9" ht="15">
      <c r="A74" s="50"/>
      <c r="B74" s="49"/>
      <c r="C74" s="50"/>
      <c r="D74" s="50"/>
      <c r="E74" s="5"/>
      <c r="F74" s="5"/>
      <c r="G74" s="5"/>
      <c r="H74" s="5"/>
      <c r="I74" s="50"/>
    </row>
    <row r="75" spans="1:9" ht="15">
      <c r="A75" s="50"/>
      <c r="B75" s="49"/>
      <c r="C75" s="50"/>
      <c r="D75" s="50"/>
      <c r="E75" s="5"/>
      <c r="F75" s="5"/>
      <c r="G75" s="5"/>
      <c r="H75" s="5"/>
      <c r="I75" s="50"/>
    </row>
    <row r="76" spans="1:9" ht="15">
      <c r="A76" s="50"/>
      <c r="B76" s="23"/>
      <c r="C76" s="5"/>
      <c r="D76" s="5"/>
      <c r="E76" s="5"/>
      <c r="F76" s="5"/>
      <c r="G76" s="5"/>
      <c r="H76" s="5"/>
      <c r="I76" s="50"/>
    </row>
    <row r="77" spans="1:9" ht="15">
      <c r="A77" s="50"/>
      <c r="B77" s="49"/>
      <c r="C77" s="50"/>
      <c r="D77" s="50"/>
      <c r="E77" s="5"/>
      <c r="F77" s="5"/>
      <c r="G77" s="5"/>
      <c r="H77" s="5"/>
      <c r="I77" s="50"/>
    </row>
    <row r="78" spans="1:9" ht="15">
      <c r="A78" s="50"/>
      <c r="B78" s="49"/>
      <c r="C78" s="50"/>
      <c r="D78" s="50"/>
      <c r="E78" s="5"/>
      <c r="F78" s="5"/>
      <c r="G78" s="5"/>
      <c r="H78" s="5"/>
      <c r="I78" s="50"/>
    </row>
    <row r="79" spans="1:9" ht="15">
      <c r="A79" s="50"/>
      <c r="B79" s="23"/>
      <c r="C79" s="5"/>
      <c r="D79" s="5"/>
      <c r="E79" s="5"/>
      <c r="F79" s="5"/>
      <c r="G79" s="5"/>
      <c r="H79" s="5"/>
      <c r="I79" s="50"/>
    </row>
    <row r="80" spans="1:9" ht="15">
      <c r="A80" s="50"/>
      <c r="B80" s="49"/>
      <c r="C80" s="50"/>
      <c r="D80" s="50"/>
      <c r="E80" s="5"/>
      <c r="F80" s="5"/>
      <c r="G80" s="5"/>
      <c r="H80" s="5"/>
      <c r="I80" s="50"/>
    </row>
    <row r="81" spans="1:9" ht="15">
      <c r="A81" s="50"/>
      <c r="B81" s="49"/>
      <c r="C81" s="50"/>
      <c r="D81" s="50"/>
      <c r="E81" s="5"/>
      <c r="F81" s="5"/>
      <c r="G81" s="5"/>
      <c r="H81" s="5"/>
      <c r="I81" s="50"/>
    </row>
    <row r="82" spans="1:9" ht="15">
      <c r="A82" s="50"/>
      <c r="B82" s="23"/>
      <c r="C82" s="5"/>
      <c r="D82" s="5"/>
      <c r="E82" s="5"/>
      <c r="F82" s="5"/>
      <c r="G82" s="5"/>
      <c r="H82" s="5"/>
      <c r="I82" s="50"/>
    </row>
    <row r="83" spans="1:9" ht="12.75">
      <c r="A83" s="50"/>
      <c r="B83" s="50"/>
      <c r="C83" s="50"/>
      <c r="D83" s="50"/>
      <c r="E83" s="50"/>
      <c r="F83" s="50"/>
      <c r="G83" s="50"/>
      <c r="H83" s="50"/>
      <c r="I83" s="50"/>
    </row>
    <row r="84" spans="1:9" ht="12.75">
      <c r="A84" s="50"/>
      <c r="B84" s="50"/>
      <c r="C84" s="50"/>
      <c r="D84" s="50"/>
      <c r="E84" s="50"/>
      <c r="F84" s="50"/>
      <c r="G84" s="50"/>
      <c r="H84" s="50"/>
      <c r="I84" s="50"/>
    </row>
    <row r="65534" ht="12.75">
      <c r="IV65534" s="63" t="s">
        <v>19</v>
      </c>
    </row>
  </sheetData>
  <sheetProtection sheet="1" objects="1" scenarios="1"/>
  <mergeCells count="9">
    <mergeCell ref="B1:J1"/>
    <mergeCell ref="I3:J3"/>
    <mergeCell ref="J20:K20"/>
    <mergeCell ref="B7:H7"/>
    <mergeCell ref="B8:H8"/>
    <mergeCell ref="B9:H9"/>
    <mergeCell ref="B16:H16"/>
    <mergeCell ref="B17:H17"/>
    <mergeCell ref="B18:H18"/>
  </mergeCells>
  <hyperlinks>
    <hyperlink ref="J20" location="manuál!A1" display="MANUÁL"/>
  </hyperlink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>
    <tabColor rgb="FFFF0000"/>
  </sheetPr>
  <dimension ref="A1:H28"/>
  <sheetViews>
    <sheetView zoomScalePageLayoutView="0" workbookViewId="0" topLeftCell="A1">
      <pane xSplit="1" ySplit="2" topLeftCell="B3" activePane="bottomRight" state="frozen"/>
      <selection pane="topLeft" activeCell="F39" sqref="F39"/>
      <selection pane="topRight" activeCell="F39" sqref="F39"/>
      <selection pane="bottomLeft" activeCell="F39" sqref="F39"/>
      <selection pane="bottomRight" activeCell="F39" sqref="F39"/>
    </sheetView>
  </sheetViews>
  <sheetFormatPr defaultColWidth="9.00390625" defaultRowHeight="12.75"/>
  <cols>
    <col min="1" max="1" width="37.25390625" style="302" customWidth="1"/>
    <col min="2" max="6" width="9.875" style="302" customWidth="1"/>
    <col min="7" max="8" width="12.125" style="302" customWidth="1"/>
    <col min="9" max="9" width="15.25390625" style="302" customWidth="1"/>
    <col min="10" max="16384" width="9.125" style="302" customWidth="1"/>
  </cols>
  <sheetData>
    <row r="1" spans="1:5" ht="19.5" customHeight="1">
      <c r="A1" s="309" t="s">
        <v>274</v>
      </c>
      <c r="D1" s="321"/>
      <c r="E1" s="320"/>
    </row>
    <row r="2" ht="11.25" customHeight="1">
      <c r="E2" s="320"/>
    </row>
    <row r="3" ht="21" customHeight="1"/>
    <row r="4" spans="1:5" ht="15">
      <c r="A4" s="312"/>
      <c r="B4" s="346" t="s">
        <v>238</v>
      </c>
      <c r="C4" s="346" t="s">
        <v>189</v>
      </c>
      <c r="D4" s="346" t="s">
        <v>190</v>
      </c>
      <c r="E4" s="346" t="s">
        <v>31</v>
      </c>
    </row>
    <row r="5" spans="1:5" ht="15">
      <c r="A5" s="303" t="s">
        <v>249</v>
      </c>
      <c r="B5" s="310" t="s">
        <v>100</v>
      </c>
      <c r="C5" s="306">
        <f>+Nájemné!I42</f>
        <v>-3898.703252999985</v>
      </c>
      <c r="D5" s="306">
        <f>+Nájemné!I43</f>
        <v>3896.0622860000294</v>
      </c>
      <c r="E5" s="305">
        <f>+C5+D5</f>
        <v>-2.640966999955708</v>
      </c>
    </row>
    <row r="6" spans="1:5" ht="15">
      <c r="A6" s="303" t="s">
        <v>250</v>
      </c>
      <c r="B6" s="310" t="s">
        <v>100</v>
      </c>
      <c r="C6" s="306"/>
      <c r="D6" s="306"/>
      <c r="E6" s="305">
        <f>+C6+D6</f>
        <v>0</v>
      </c>
    </row>
    <row r="7" spans="1:5" ht="15">
      <c r="A7" s="304" t="s">
        <v>251</v>
      </c>
      <c r="B7" s="308" t="s">
        <v>100</v>
      </c>
      <c r="C7" s="305">
        <f>+C6+C5</f>
        <v>-3898.703252999985</v>
      </c>
      <c r="D7" s="305">
        <f>+D6+D5</f>
        <v>3896.0622860000294</v>
      </c>
      <c r="E7" s="305">
        <f>+C7+D7</f>
        <v>-2.640966999955708</v>
      </c>
    </row>
    <row r="8" spans="1:5" ht="15">
      <c r="A8" s="304" t="s">
        <v>277</v>
      </c>
      <c r="B8" s="308" t="s">
        <v>144</v>
      </c>
      <c r="C8" s="305" t="e">
        <f>+#REF!</f>
        <v>#REF!</v>
      </c>
      <c r="D8" s="305" t="e">
        <f>+#REF!</f>
        <v>#REF!</v>
      </c>
      <c r="E8" s="304"/>
    </row>
    <row r="9" spans="1:5" ht="15">
      <c r="A9" s="312"/>
      <c r="B9" s="312"/>
      <c r="C9" s="312"/>
      <c r="D9" s="312"/>
      <c r="E9" s="312"/>
    </row>
    <row r="10" spans="1:5" ht="15">
      <c r="A10" s="304" t="s">
        <v>275</v>
      </c>
      <c r="B10" s="308" t="s">
        <v>138</v>
      </c>
      <c r="C10" s="318">
        <v>41.85</v>
      </c>
      <c r="D10" s="318">
        <v>41.06</v>
      </c>
      <c r="E10" s="318">
        <f>+C10+D10</f>
        <v>82.91</v>
      </c>
    </row>
    <row r="11" spans="1:5" ht="15">
      <c r="A11" s="307" t="s">
        <v>240</v>
      </c>
      <c r="B11" s="313" t="s">
        <v>138</v>
      </c>
      <c r="C11" s="349">
        <f>+ROUND(+C10*$E$12,2)</f>
        <v>0.13</v>
      </c>
      <c r="D11" s="349">
        <f>+ROUND(+D10*$E$12,2)</f>
        <v>0.12</v>
      </c>
      <c r="E11" s="349">
        <f>+C119+D11</f>
        <v>0.12</v>
      </c>
    </row>
    <row r="12" spans="1:5" ht="15">
      <c r="A12" s="307"/>
      <c r="B12" s="313" t="s">
        <v>140</v>
      </c>
      <c r="C12" s="307"/>
      <c r="D12" s="307"/>
      <c r="E12" s="352">
        <v>0.003</v>
      </c>
    </row>
    <row r="13" spans="1:5" ht="15">
      <c r="A13" s="307" t="s">
        <v>252</v>
      </c>
      <c r="B13" s="313" t="s">
        <v>144</v>
      </c>
      <c r="C13" s="349" t="e">
        <f>+ROUND(+C5/$C$8,2)</f>
        <v>#REF!</v>
      </c>
      <c r="D13" s="349" t="e">
        <f>+ROUND(+D5/$D$8,2)</f>
        <v>#REF!</v>
      </c>
      <c r="E13" s="349" t="e">
        <f>+D13+C13</f>
        <v>#REF!</v>
      </c>
    </row>
    <row r="14" spans="1:5" ht="15">
      <c r="A14" s="307"/>
      <c r="B14" s="313" t="s">
        <v>140</v>
      </c>
      <c r="C14" s="350"/>
      <c r="D14" s="350"/>
      <c r="E14" s="351" t="e">
        <f>+E13/$E$10</f>
        <v>#REF!</v>
      </c>
    </row>
    <row r="15" spans="1:5" ht="15">
      <c r="A15" s="307" t="s">
        <v>253</v>
      </c>
      <c r="B15" s="313" t="s">
        <v>138</v>
      </c>
      <c r="C15" s="349" t="e">
        <f>+ROUND(+C6/$C$8,2)</f>
        <v>#REF!</v>
      </c>
      <c r="D15" s="349"/>
      <c r="E15" s="349" t="e">
        <f>+D15+C15</f>
        <v>#REF!</v>
      </c>
    </row>
    <row r="16" spans="1:5" ht="15">
      <c r="A16" s="307"/>
      <c r="B16" s="313" t="s">
        <v>140</v>
      </c>
      <c r="C16" s="349"/>
      <c r="D16" s="349"/>
      <c r="E16" s="351" t="e">
        <f>+E15/$E$10</f>
        <v>#REF!</v>
      </c>
    </row>
    <row r="17" spans="1:5" ht="15">
      <c r="A17" s="304" t="s">
        <v>239</v>
      </c>
      <c r="B17" s="308" t="s">
        <v>138</v>
      </c>
      <c r="C17" s="319" t="e">
        <f>+C15+C13+C11</f>
        <v>#REF!</v>
      </c>
      <c r="D17" s="319" t="e">
        <f>+D15+D13+D11</f>
        <v>#REF!</v>
      </c>
      <c r="E17" s="319" t="e">
        <f>+D17+C17</f>
        <v>#REF!</v>
      </c>
    </row>
    <row r="18" spans="1:6" ht="15">
      <c r="A18" s="303"/>
      <c r="B18" s="310" t="s">
        <v>140</v>
      </c>
      <c r="C18" s="348" t="e">
        <f>+C17/C10</f>
        <v>#REF!</v>
      </c>
      <c r="D18" s="348" t="e">
        <f>+D17/D10</f>
        <v>#REF!</v>
      </c>
      <c r="E18" s="348" t="e">
        <f>+E17/E10</f>
        <v>#REF!</v>
      </c>
      <c r="F18" s="343"/>
    </row>
    <row r="19" spans="1:7" ht="15">
      <c r="A19" s="304" t="s">
        <v>276</v>
      </c>
      <c r="B19" s="308" t="s">
        <v>138</v>
      </c>
      <c r="C19" s="318">
        <v>41.96</v>
      </c>
      <c r="D19" s="318">
        <v>41.7</v>
      </c>
      <c r="E19" s="318">
        <f>+C19+D19</f>
        <v>83.66</v>
      </c>
      <c r="G19" s="316"/>
    </row>
    <row r="20" spans="1:7" ht="15" hidden="1">
      <c r="A20" s="304" t="s">
        <v>242</v>
      </c>
      <c r="B20" s="308" t="s">
        <v>138</v>
      </c>
      <c r="C20" s="314">
        <v>35.9</v>
      </c>
      <c r="D20" s="314">
        <v>37.54</v>
      </c>
      <c r="E20" s="314">
        <f>+C20+D20</f>
        <v>73.44</v>
      </c>
      <c r="G20" s="316"/>
    </row>
    <row r="21" spans="1:7" ht="15" hidden="1">
      <c r="A21" s="304" t="s">
        <v>241</v>
      </c>
      <c r="B21" s="308" t="s">
        <v>138</v>
      </c>
      <c r="C21" s="314">
        <f>+C19-C20</f>
        <v>6.060000000000002</v>
      </c>
      <c r="D21" s="314">
        <f>+D19-D20</f>
        <v>4.160000000000004</v>
      </c>
      <c r="E21" s="314">
        <f>+C21+D21</f>
        <v>10.220000000000006</v>
      </c>
      <c r="G21" s="316"/>
    </row>
    <row r="22" spans="1:7" ht="15" hidden="1">
      <c r="A22" s="304"/>
      <c r="B22" s="308" t="s">
        <v>100</v>
      </c>
      <c r="C22" s="317" t="e">
        <f>+C8*C21</f>
        <v>#REF!</v>
      </c>
      <c r="D22" s="317" t="e">
        <f>+D8*D21</f>
        <v>#REF!</v>
      </c>
      <c r="E22" s="317" t="e">
        <f>+C22+D22</f>
        <v>#REF!</v>
      </c>
      <c r="G22" s="316"/>
    </row>
    <row r="23" spans="1:8" ht="15.75" customHeight="1">
      <c r="A23" s="315"/>
      <c r="C23" s="316"/>
      <c r="D23" s="316"/>
      <c r="E23" s="347"/>
      <c r="F23" s="316"/>
      <c r="G23" s="316"/>
      <c r="H23" s="316"/>
    </row>
    <row r="24" ht="15.75" customHeight="1">
      <c r="A24" s="311"/>
    </row>
    <row r="25" ht="15">
      <c r="C25" s="367"/>
    </row>
    <row r="26" ht="15">
      <c r="C26" s="356"/>
    </row>
    <row r="27" ht="15">
      <c r="C27" s="356"/>
    </row>
    <row r="28" ht="15">
      <c r="C28" s="356"/>
    </row>
  </sheetData>
  <sheetProtection/>
  <printOptions/>
  <pageMargins left="0.7086614173228347" right="0.7086614173228347" top="0.46" bottom="0.16" header="0.34" footer="0.16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N81"/>
  <sheetViews>
    <sheetView zoomScalePageLayoutView="0" workbookViewId="0" topLeftCell="A1">
      <selection activeCell="F39" sqref="F39"/>
    </sheetView>
  </sheetViews>
  <sheetFormatPr defaultColWidth="9.00390625" defaultRowHeight="12.75"/>
  <cols>
    <col min="1" max="1" width="18.625" style="0" customWidth="1"/>
    <col min="2" max="5" width="8.875" style="192" customWidth="1"/>
    <col min="6" max="6" width="8.875" style="0" customWidth="1"/>
    <col min="7" max="7" width="15.125" style="0" bestFit="1" customWidth="1"/>
    <col min="8" max="9" width="8.875" style="0" customWidth="1"/>
    <col min="10" max="11" width="13.625" style="0" customWidth="1"/>
  </cols>
  <sheetData>
    <row r="1" spans="1:5" ht="12.75">
      <c r="A1" s="441" t="s">
        <v>152</v>
      </c>
      <c r="B1" s="375">
        <v>2018</v>
      </c>
      <c r="C1" s="221">
        <f>+zadání!C6</f>
        <v>2019</v>
      </c>
      <c r="D1" s="443" t="s">
        <v>148</v>
      </c>
      <c r="E1" s="443"/>
    </row>
    <row r="2" spans="1:5" ht="12.75">
      <c r="A2" s="442"/>
      <c r="B2" s="221" t="s">
        <v>151</v>
      </c>
      <c r="C2" s="221" t="s">
        <v>151</v>
      </c>
      <c r="D2" s="221" t="s">
        <v>151</v>
      </c>
      <c r="E2" s="221" t="s">
        <v>140</v>
      </c>
    </row>
    <row r="3" spans="1:5" ht="12.75">
      <c r="A3" s="218" t="s">
        <v>149</v>
      </c>
      <c r="B3" s="219" t="e">
        <f>+#REF!</f>
        <v>#REF!</v>
      </c>
      <c r="C3" s="219" t="e">
        <f>+#REF!</f>
        <v>#REF!</v>
      </c>
      <c r="D3" s="219" t="e">
        <f>+C3-B3</f>
        <v>#REF!</v>
      </c>
      <c r="E3" s="271" t="e">
        <f>+D3/B3</f>
        <v>#REF!</v>
      </c>
    </row>
    <row r="4" spans="1:5" ht="12.75">
      <c r="A4" s="218" t="s">
        <v>150</v>
      </c>
      <c r="B4" s="219" t="e">
        <f>+#REF!</f>
        <v>#REF!</v>
      </c>
      <c r="C4" s="219" t="e">
        <f>+#REF!</f>
        <v>#REF!</v>
      </c>
      <c r="D4" s="219" t="e">
        <f>+C4-B4</f>
        <v>#REF!</v>
      </c>
      <c r="E4" s="271" t="e">
        <f>+D4/B4</f>
        <v>#REF!</v>
      </c>
    </row>
    <row r="7" spans="1:11" ht="18">
      <c r="A7" s="444" t="s">
        <v>209</v>
      </c>
      <c r="B7" s="445"/>
      <c r="C7" s="445"/>
      <c r="D7" s="445"/>
      <c r="E7" s="446"/>
      <c r="G7" s="444" t="s">
        <v>213</v>
      </c>
      <c r="H7" s="445"/>
      <c r="I7" s="445"/>
      <c r="J7" s="445"/>
      <c r="K7" s="446"/>
    </row>
    <row r="8" spans="1:11" ht="12.75">
      <c r="A8" s="441" t="s">
        <v>153</v>
      </c>
      <c r="B8" s="221">
        <f>+B$1</f>
        <v>2018</v>
      </c>
      <c r="C8" s="221">
        <f>+C$1</f>
        <v>2019</v>
      </c>
      <c r="D8" s="443" t="s">
        <v>148</v>
      </c>
      <c r="E8" s="443"/>
      <c r="G8" s="441" t="s">
        <v>153</v>
      </c>
      <c r="H8" s="221">
        <f>+B$1</f>
        <v>2018</v>
      </c>
      <c r="I8" s="221">
        <f>+C$1</f>
        <v>2019</v>
      </c>
      <c r="J8" s="443" t="s">
        <v>148</v>
      </c>
      <c r="K8" s="443"/>
    </row>
    <row r="9" spans="1:11" ht="12.75">
      <c r="A9" s="442"/>
      <c r="B9" s="221" t="s">
        <v>138</v>
      </c>
      <c r="C9" s="221" t="s">
        <v>138</v>
      </c>
      <c r="D9" s="221" t="s">
        <v>138</v>
      </c>
      <c r="E9" s="221" t="s">
        <v>140</v>
      </c>
      <c r="G9" s="442"/>
      <c r="H9" s="221" t="s">
        <v>138</v>
      </c>
      <c r="I9" s="221" t="s">
        <v>138</v>
      </c>
      <c r="J9" s="221" t="s">
        <v>138</v>
      </c>
      <c r="K9" s="221" t="s">
        <v>140</v>
      </c>
    </row>
    <row r="10" spans="1:11" ht="12.75">
      <c r="A10" s="218" t="s">
        <v>149</v>
      </c>
      <c r="B10" s="222" t="e">
        <f>+#REF!</f>
        <v>#REF!</v>
      </c>
      <c r="C10" s="222" t="e">
        <f>+#REF!</f>
        <v>#REF!</v>
      </c>
      <c r="D10" s="222" t="e">
        <f>+C10-B10</f>
        <v>#REF!</v>
      </c>
      <c r="E10" s="271" t="e">
        <f>+D10/B10</f>
        <v>#REF!</v>
      </c>
      <c r="G10" s="218" t="s">
        <v>149</v>
      </c>
      <c r="H10" s="222" t="e">
        <f>+#REF!</f>
        <v>#REF!</v>
      </c>
      <c r="I10" s="222" t="e">
        <f>+#REF!</f>
        <v>#REF!</v>
      </c>
      <c r="J10" s="222" t="e">
        <f>+I10-H10</f>
        <v>#REF!</v>
      </c>
      <c r="K10" s="271" t="e">
        <f>+J10/H10</f>
        <v>#REF!</v>
      </c>
    </row>
    <row r="11" spans="1:11" ht="12.75">
      <c r="A11" s="218" t="s">
        <v>150</v>
      </c>
      <c r="B11" s="222" t="e">
        <f>+#REF!</f>
        <v>#REF!</v>
      </c>
      <c r="C11" s="222" t="e">
        <f>+#REF!</f>
        <v>#REF!</v>
      </c>
      <c r="D11" s="222" t="e">
        <f>+C11-B11</f>
        <v>#REF!</v>
      </c>
      <c r="E11" s="271" t="e">
        <f>+D11/B11</f>
        <v>#REF!</v>
      </c>
      <c r="G11" s="218" t="s">
        <v>150</v>
      </c>
      <c r="H11" s="222" t="e">
        <f>+#REF!</f>
        <v>#REF!</v>
      </c>
      <c r="I11" s="222" t="e">
        <f>+#REF!</f>
        <v>#REF!</v>
      </c>
      <c r="J11" s="222" t="e">
        <f>+I11-H11</f>
        <v>#REF!</v>
      </c>
      <c r="K11" s="271" t="e">
        <f>+J11/H11</f>
        <v>#REF!</v>
      </c>
    </row>
    <row r="12" spans="1:11" ht="12.75">
      <c r="A12" s="226" t="s">
        <v>31</v>
      </c>
      <c r="B12" s="227" t="e">
        <f>+B10+B11</f>
        <v>#REF!</v>
      </c>
      <c r="C12" s="227" t="e">
        <f>+C10+C11</f>
        <v>#REF!</v>
      </c>
      <c r="D12" s="227" t="e">
        <f>+C12-B12</f>
        <v>#REF!</v>
      </c>
      <c r="E12" s="272" t="e">
        <f>+D12/B12</f>
        <v>#REF!</v>
      </c>
      <c r="G12" s="226" t="s">
        <v>31</v>
      </c>
      <c r="H12" s="227" t="e">
        <f>+H10+H11</f>
        <v>#REF!</v>
      </c>
      <c r="I12" s="227" t="e">
        <f>+I10+I11</f>
        <v>#REF!</v>
      </c>
      <c r="J12" s="227" t="e">
        <f>+I12-H12</f>
        <v>#REF!</v>
      </c>
      <c r="K12" s="272" t="e">
        <f>+J12/H12</f>
        <v>#REF!</v>
      </c>
    </row>
    <row r="13" spans="1:5" ht="12.75">
      <c r="A13" s="223"/>
      <c r="B13" s="224"/>
      <c r="C13" s="224"/>
      <c r="D13" s="224"/>
      <c r="E13" s="225"/>
    </row>
    <row r="14" spans="1:5" ht="12.75">
      <c r="A14" s="441" t="s">
        <v>146</v>
      </c>
      <c r="B14" s="221">
        <f>+B$1</f>
        <v>2018</v>
      </c>
      <c r="C14" s="221">
        <f>+C$1</f>
        <v>2019</v>
      </c>
      <c r="D14" s="221" t="s">
        <v>148</v>
      </c>
      <c r="E14"/>
    </row>
    <row r="15" spans="1:5" ht="12.75">
      <c r="A15" s="442"/>
      <c r="B15" s="221" t="s">
        <v>140</v>
      </c>
      <c r="C15" s="221" t="s">
        <v>140</v>
      </c>
      <c r="D15" s="221" t="s">
        <v>140</v>
      </c>
      <c r="E15"/>
    </row>
    <row r="16" spans="1:5" ht="12.75">
      <c r="A16" s="218" t="s">
        <v>149</v>
      </c>
      <c r="B16" s="220" t="e">
        <f>+#REF!</f>
        <v>#REF!</v>
      </c>
      <c r="C16" s="220" t="e">
        <f>+#REF!</f>
        <v>#REF!</v>
      </c>
      <c r="D16" s="220" t="e">
        <f>+C16-B16</f>
        <v>#REF!</v>
      </c>
      <c r="E16"/>
    </row>
    <row r="17" spans="1:14" ht="12.75">
      <c r="A17" s="218" t="s">
        <v>150</v>
      </c>
      <c r="B17" s="220" t="e">
        <f>+#REF!</f>
        <v>#REF!</v>
      </c>
      <c r="C17" s="220" t="e">
        <f>+#REF!</f>
        <v>#REF!</v>
      </c>
      <c r="D17" s="220" t="e">
        <f>+C17-B17</f>
        <v>#REF!</v>
      </c>
      <c r="E17"/>
      <c r="N17" s="273"/>
    </row>
    <row r="19" spans="1:5" ht="12.75">
      <c r="A19" s="441" t="s">
        <v>154</v>
      </c>
      <c r="B19" s="221">
        <f>+B$1</f>
        <v>2018</v>
      </c>
      <c r="C19" s="221">
        <f>+C$1</f>
        <v>2019</v>
      </c>
      <c r="D19" s="443" t="s">
        <v>148</v>
      </c>
      <c r="E19" s="443"/>
    </row>
    <row r="20" spans="1:5" ht="12.75">
      <c r="A20" s="442"/>
      <c r="B20" s="221" t="s">
        <v>100</v>
      </c>
      <c r="C20" s="221" t="s">
        <v>100</v>
      </c>
      <c r="D20" s="221" t="s">
        <v>100</v>
      </c>
      <c r="E20" s="221" t="s">
        <v>140</v>
      </c>
    </row>
    <row r="21" spans="1:5" ht="12.75">
      <c r="A21" s="218" t="s">
        <v>149</v>
      </c>
      <c r="B21" s="219" t="e">
        <f>+#REF!</f>
        <v>#REF!</v>
      </c>
      <c r="C21" s="219" t="e">
        <f>+#REF!</f>
        <v>#REF!</v>
      </c>
      <c r="D21" s="219" t="e">
        <f>+C21-B21</f>
        <v>#REF!</v>
      </c>
      <c r="E21" s="271" t="e">
        <f>+D21/B21</f>
        <v>#REF!</v>
      </c>
    </row>
    <row r="22" spans="1:5" ht="12.75">
      <c r="A22" s="218" t="s">
        <v>150</v>
      </c>
      <c r="B22" s="219" t="e">
        <f>+#REF!</f>
        <v>#REF!</v>
      </c>
      <c r="C22" s="219" t="e">
        <f>+#REF!</f>
        <v>#REF!</v>
      </c>
      <c r="D22" s="219" t="e">
        <f>+C22-B22</f>
        <v>#REF!</v>
      </c>
      <c r="E22" s="271" t="e">
        <f>+D22/B22</f>
        <v>#REF!</v>
      </c>
    </row>
    <row r="23" spans="1:5" ht="12.75">
      <c r="A23" s="226" t="s">
        <v>31</v>
      </c>
      <c r="B23" s="228" t="e">
        <f>+B21+B22</f>
        <v>#REF!</v>
      </c>
      <c r="C23" s="228" t="e">
        <f>+C21+C22</f>
        <v>#REF!</v>
      </c>
      <c r="D23" s="228" t="e">
        <f>+C23-B23</f>
        <v>#REF!</v>
      </c>
      <c r="E23" s="272" t="e">
        <f>+D23/B23</f>
        <v>#REF!</v>
      </c>
    </row>
    <row r="25" spans="1:10" ht="23.25" customHeight="1">
      <c r="A25" s="444" t="s">
        <v>209</v>
      </c>
      <c r="B25" s="445"/>
      <c r="C25" s="445"/>
      <c r="D25" s="445"/>
      <c r="E25" s="446"/>
      <c r="J25" s="231"/>
    </row>
    <row r="26" spans="1:10" ht="12.75">
      <c r="A26" s="441" t="s">
        <v>199</v>
      </c>
      <c r="B26" s="221">
        <f>+B$1</f>
        <v>2018</v>
      </c>
      <c r="C26" s="221">
        <f>+C$1</f>
        <v>2019</v>
      </c>
      <c r="D26" s="443" t="s">
        <v>148</v>
      </c>
      <c r="E26" s="443"/>
      <c r="J26" s="231"/>
    </row>
    <row r="27" spans="1:10" ht="12.75">
      <c r="A27" s="442"/>
      <c r="B27" s="221" t="s">
        <v>138</v>
      </c>
      <c r="C27" s="221" t="s">
        <v>138</v>
      </c>
      <c r="D27" s="221" t="s">
        <v>138</v>
      </c>
      <c r="E27" s="221" t="s">
        <v>140</v>
      </c>
      <c r="J27" s="231"/>
    </row>
    <row r="28" spans="1:10" ht="12.75">
      <c r="A28" s="218" t="s">
        <v>149</v>
      </c>
      <c r="B28" s="222" t="e">
        <f>+#REF!</f>
        <v>#REF!</v>
      </c>
      <c r="C28" s="222" t="e">
        <f>+#REF!</f>
        <v>#REF!</v>
      </c>
      <c r="D28" s="222" t="e">
        <f>+C28-B28</f>
        <v>#REF!</v>
      </c>
      <c r="E28" s="271" t="e">
        <f>+D28/B28</f>
        <v>#REF!</v>
      </c>
      <c r="J28" s="231"/>
    </row>
    <row r="29" spans="1:10" ht="12.75">
      <c r="A29" s="218" t="s">
        <v>150</v>
      </c>
      <c r="B29" s="222" t="e">
        <f>+#REF!</f>
        <v>#REF!</v>
      </c>
      <c r="C29" s="222" t="e">
        <f>+#REF!</f>
        <v>#REF!</v>
      </c>
      <c r="D29" s="222" t="e">
        <f>+C29-B29</f>
        <v>#REF!</v>
      </c>
      <c r="E29" s="271" t="e">
        <f>+D29/B29</f>
        <v>#REF!</v>
      </c>
      <c r="J29" s="231"/>
    </row>
    <row r="30" spans="1:10" ht="12.75">
      <c r="A30" s="226" t="s">
        <v>31</v>
      </c>
      <c r="B30" s="227" t="e">
        <f>+B28+B29</f>
        <v>#REF!</v>
      </c>
      <c r="C30" s="227" t="e">
        <f>+C28+C29</f>
        <v>#REF!</v>
      </c>
      <c r="D30" s="227" t="e">
        <f>+C30-B30</f>
        <v>#REF!</v>
      </c>
      <c r="E30" s="272" t="e">
        <f>+D30/B30</f>
        <v>#REF!</v>
      </c>
      <c r="J30" s="231"/>
    </row>
    <row r="31" spans="1:10" ht="21.75" customHeight="1">
      <c r="A31" s="439"/>
      <c r="B31" s="439"/>
      <c r="C31" s="439"/>
      <c r="D31" s="439"/>
      <c r="E31" s="440"/>
      <c r="J31" s="231"/>
    </row>
    <row r="32" spans="1:10" ht="12.75">
      <c r="A32" s="441" t="s">
        <v>201</v>
      </c>
      <c r="B32" s="221">
        <f>+B$1</f>
        <v>2018</v>
      </c>
      <c r="C32" s="221">
        <f>+C$1</f>
        <v>2019</v>
      </c>
      <c r="D32" s="443" t="s">
        <v>148</v>
      </c>
      <c r="E32" s="443"/>
      <c r="J32" s="231"/>
    </row>
    <row r="33" spans="1:11" ht="12.75">
      <c r="A33" s="442"/>
      <c r="B33" s="221" t="s">
        <v>27</v>
      </c>
      <c r="C33" s="221" t="s">
        <v>27</v>
      </c>
      <c r="D33" s="221" t="s">
        <v>27</v>
      </c>
      <c r="E33" s="221" t="s">
        <v>140</v>
      </c>
      <c r="J33" s="231"/>
      <c r="K33">
        <v>1</v>
      </c>
    </row>
    <row r="34" spans="1:11" ht="12.75">
      <c r="A34" s="218" t="e">
        <f>+#REF!</f>
        <v>#REF!</v>
      </c>
      <c r="B34" s="236" t="e">
        <f>+#REF!</f>
        <v>#REF!</v>
      </c>
      <c r="C34" s="236" t="e">
        <f>+#REF!</f>
        <v>#REF!</v>
      </c>
      <c r="D34" s="236" t="e">
        <f>+C34-B34</f>
        <v>#REF!</v>
      </c>
      <c r="E34" s="271" t="e">
        <f>+D34/B34</f>
        <v>#REF!</v>
      </c>
      <c r="G34" s="273"/>
      <c r="J34" s="231"/>
      <c r="K34">
        <v>1</v>
      </c>
    </row>
    <row r="35" spans="1:10" ht="12.75">
      <c r="A35" s="218" t="e">
        <f>+#REF!</f>
        <v>#REF!</v>
      </c>
      <c r="B35" s="236" t="e">
        <f>+#REF!</f>
        <v>#REF!</v>
      </c>
      <c r="C35" s="236" t="e">
        <f>+#REF!</f>
        <v>#REF!</v>
      </c>
      <c r="D35" s="236" t="e">
        <f>+C35-B35</f>
        <v>#REF!</v>
      </c>
      <c r="E35" s="271" t="e">
        <f>+D35/B35</f>
        <v>#REF!</v>
      </c>
      <c r="G35" s="273"/>
      <c r="J35" s="231"/>
    </row>
    <row r="36" spans="1:10" ht="12.75">
      <c r="A36" s="218" t="e">
        <f>+#REF!</f>
        <v>#REF!</v>
      </c>
      <c r="B36" s="236" t="e">
        <f>+#REF!</f>
        <v>#REF!</v>
      </c>
      <c r="C36" s="236" t="e">
        <f>+#REF!</f>
        <v>#REF!</v>
      </c>
      <c r="D36" s="236" t="e">
        <f>+C36-B36</f>
        <v>#REF!</v>
      </c>
      <c r="E36" s="271" t="e">
        <f>+D36/B36</f>
        <v>#REF!</v>
      </c>
      <c r="G36" s="273"/>
      <c r="J36" s="231"/>
    </row>
    <row r="37" spans="1:10" ht="12.75">
      <c r="A37" s="218" t="e">
        <f>+#REF!</f>
        <v>#REF!</v>
      </c>
      <c r="B37" s="236" t="e">
        <f>+#REF!</f>
        <v>#REF!</v>
      </c>
      <c r="C37" s="236" t="e">
        <f>+#REF!</f>
        <v>#REF!</v>
      </c>
      <c r="D37" s="236" t="e">
        <f>+C37-B37</f>
        <v>#REF!</v>
      </c>
      <c r="E37" s="271" t="e">
        <f>+D37/B37</f>
        <v>#REF!</v>
      </c>
      <c r="G37" s="273"/>
      <c r="J37" s="231"/>
    </row>
    <row r="38" spans="1:10" ht="12.75" hidden="1">
      <c r="A38" s="218" t="e">
        <f>+#REF!</f>
        <v>#REF!</v>
      </c>
      <c r="B38" s="236" t="e">
        <f>+#REF!</f>
        <v>#REF!</v>
      </c>
      <c r="C38" s="236" t="e">
        <f>+#REF!</f>
        <v>#REF!</v>
      </c>
      <c r="D38" s="236" t="e">
        <f>+C38-B38</f>
        <v>#REF!</v>
      </c>
      <c r="E38" s="271" t="e">
        <f>+D38/B38</f>
        <v>#REF!</v>
      </c>
      <c r="G38" s="273"/>
      <c r="J38" s="231"/>
    </row>
    <row r="39" ht="20.25" customHeight="1"/>
    <row r="40" spans="1:5" ht="24.75" customHeight="1">
      <c r="A40" s="444" t="s">
        <v>213</v>
      </c>
      <c r="B40" s="445"/>
      <c r="C40" s="445"/>
      <c r="D40" s="445"/>
      <c r="E40" s="446"/>
    </row>
    <row r="41" spans="1:5" ht="12.75">
      <c r="A41" s="441" t="s">
        <v>279</v>
      </c>
      <c r="B41" s="221">
        <f>+B$1</f>
        <v>2018</v>
      </c>
      <c r="C41" s="221">
        <f>+C$1</f>
        <v>2019</v>
      </c>
      <c r="D41" s="443" t="s">
        <v>148</v>
      </c>
      <c r="E41" s="443"/>
    </row>
    <row r="42" spans="1:5" ht="12.75">
      <c r="A42" s="442"/>
      <c r="B42" s="221" t="s">
        <v>138</v>
      </c>
      <c r="C42" s="221" t="s">
        <v>138</v>
      </c>
      <c r="D42" s="221" t="s">
        <v>138</v>
      </c>
      <c r="E42" s="221" t="s">
        <v>140</v>
      </c>
    </row>
    <row r="43" spans="1:5" ht="12.75">
      <c r="A43" s="342" t="s">
        <v>247</v>
      </c>
      <c r="B43" s="341">
        <v>0.15</v>
      </c>
      <c r="C43" s="341">
        <v>0.15</v>
      </c>
      <c r="D43" s="341"/>
      <c r="E43" s="341"/>
    </row>
    <row r="44" spans="1:5" ht="12.75">
      <c r="A44" s="218" t="s">
        <v>149</v>
      </c>
      <c r="B44" s="222" t="e">
        <f>+B28*(B$43+1)</f>
        <v>#REF!</v>
      </c>
      <c r="C44" s="222" t="e">
        <f>+C28*(C$43+1)</f>
        <v>#REF!</v>
      </c>
      <c r="D44" s="222" t="e">
        <f>+C44-B44</f>
        <v>#REF!</v>
      </c>
      <c r="E44" s="271" t="e">
        <f>+D44/B44</f>
        <v>#REF!</v>
      </c>
    </row>
    <row r="45" spans="1:5" ht="12.75">
      <c r="A45" s="218" t="s">
        <v>150</v>
      </c>
      <c r="B45" s="222" t="e">
        <f>+B29*(B$43+1)</f>
        <v>#REF!</v>
      </c>
      <c r="C45" s="222" t="e">
        <f>+C29*(C$43+1)</f>
        <v>#REF!</v>
      </c>
      <c r="D45" s="222" t="e">
        <f>+C45-B45</f>
        <v>#REF!</v>
      </c>
      <c r="E45" s="271" t="e">
        <f>+D45/B45</f>
        <v>#REF!</v>
      </c>
    </row>
    <row r="46" spans="1:5" ht="12.75">
      <c r="A46" s="226" t="s">
        <v>31</v>
      </c>
      <c r="B46" s="227" t="e">
        <f>+B44+B45</f>
        <v>#REF!</v>
      </c>
      <c r="C46" s="227" t="e">
        <f>+C44+C45</f>
        <v>#REF!</v>
      </c>
      <c r="D46" s="227" t="e">
        <f>+C46-B46</f>
        <v>#REF!</v>
      </c>
      <c r="E46" s="272" t="e">
        <f>+D46/B46</f>
        <v>#REF!</v>
      </c>
    </row>
    <row r="47" spans="1:5" ht="22.5" customHeight="1">
      <c r="A47" s="439"/>
      <c r="B47" s="439"/>
      <c r="C47" s="439"/>
      <c r="D47" s="439"/>
      <c r="E47" s="440"/>
    </row>
    <row r="48" spans="1:5" ht="12.75">
      <c r="A48" s="441" t="s">
        <v>200</v>
      </c>
      <c r="B48" s="221">
        <f>+B$1</f>
        <v>2018</v>
      </c>
      <c r="C48" s="221">
        <f>+C$1</f>
        <v>2019</v>
      </c>
      <c r="D48" s="443" t="s">
        <v>148</v>
      </c>
      <c r="E48" s="443"/>
    </row>
    <row r="49" spans="1:5" ht="12.75">
      <c r="A49" s="442"/>
      <c r="B49" s="221" t="s">
        <v>27</v>
      </c>
      <c r="C49" s="221" t="s">
        <v>27</v>
      </c>
      <c r="D49" s="221" t="s">
        <v>27</v>
      </c>
      <c r="E49" s="221" t="s">
        <v>140</v>
      </c>
    </row>
    <row r="50" spans="1:7" ht="12.75">
      <c r="A50" s="218" t="e">
        <f>+#REF!</f>
        <v>#REF!</v>
      </c>
      <c r="B50" s="236" t="e">
        <f aca="true" t="shared" si="0" ref="B50:C53">+B34*(B$43+1)</f>
        <v>#REF!</v>
      </c>
      <c r="C50" s="236" t="e">
        <f t="shared" si="0"/>
        <v>#REF!</v>
      </c>
      <c r="D50" s="236" t="e">
        <f>+C50-B50</f>
        <v>#REF!</v>
      </c>
      <c r="E50" s="271" t="e">
        <f>+D50/B50</f>
        <v>#REF!</v>
      </c>
      <c r="G50" s="273"/>
    </row>
    <row r="51" spans="1:7" ht="12.75">
      <c r="A51" s="218" t="e">
        <f>+#REF!</f>
        <v>#REF!</v>
      </c>
      <c r="B51" s="236" t="e">
        <f t="shared" si="0"/>
        <v>#REF!</v>
      </c>
      <c r="C51" s="236" t="e">
        <f t="shared" si="0"/>
        <v>#REF!</v>
      </c>
      <c r="D51" s="236" t="e">
        <f>+C51-B51</f>
        <v>#REF!</v>
      </c>
      <c r="E51" s="271" t="e">
        <f>+D51/B51</f>
        <v>#REF!</v>
      </c>
      <c r="G51" s="273"/>
    </row>
    <row r="52" spans="1:7" ht="12.75">
      <c r="A52" s="218" t="e">
        <f>+#REF!</f>
        <v>#REF!</v>
      </c>
      <c r="B52" s="236" t="e">
        <f t="shared" si="0"/>
        <v>#REF!</v>
      </c>
      <c r="C52" s="236" t="e">
        <f t="shared" si="0"/>
        <v>#REF!</v>
      </c>
      <c r="D52" s="236" t="e">
        <f>+C52-B52</f>
        <v>#REF!</v>
      </c>
      <c r="E52" s="271" t="e">
        <f>+D52/B52</f>
        <v>#REF!</v>
      </c>
      <c r="G52" s="273"/>
    </row>
    <row r="53" spans="1:7" ht="12.75">
      <c r="A53" s="218" t="e">
        <f>+#REF!</f>
        <v>#REF!</v>
      </c>
      <c r="B53" s="236" t="e">
        <f t="shared" si="0"/>
        <v>#REF!</v>
      </c>
      <c r="C53" s="236" t="e">
        <f t="shared" si="0"/>
        <v>#REF!</v>
      </c>
      <c r="D53" s="236" t="e">
        <f>+C53-B53</f>
        <v>#REF!</v>
      </c>
      <c r="E53" s="271" t="e">
        <f>+D53/B53</f>
        <v>#REF!</v>
      </c>
      <c r="G53" s="273"/>
    </row>
    <row r="54" spans="1:7" ht="12.75" hidden="1">
      <c r="A54" s="218" t="e">
        <f>+#REF!</f>
        <v>#REF!</v>
      </c>
      <c r="B54" s="236" t="e">
        <f>+B38*1.1</f>
        <v>#REF!</v>
      </c>
      <c r="C54" s="236" t="e">
        <f>+C38*1.14</f>
        <v>#REF!</v>
      </c>
      <c r="D54" s="236" t="e">
        <f>+C54-B54</f>
        <v>#REF!</v>
      </c>
      <c r="E54" s="271" t="e">
        <f>+D54/B54</f>
        <v>#REF!</v>
      </c>
      <c r="G54" s="273"/>
    </row>
    <row r="56" ht="45.75" customHeight="1"/>
    <row r="57" spans="1:9" ht="18">
      <c r="A57" s="322"/>
      <c r="B57" s="447" t="s">
        <v>209</v>
      </c>
      <c r="C57" s="448"/>
      <c r="D57" s="448"/>
      <c r="E57" s="449"/>
      <c r="F57" s="447" t="s">
        <v>213</v>
      </c>
      <c r="G57" s="448"/>
      <c r="H57" s="448"/>
      <c r="I57" s="449"/>
    </row>
    <row r="58" spans="1:9" ht="12.75">
      <c r="A58" s="441" t="s">
        <v>199</v>
      </c>
      <c r="B58" s="221">
        <f>+B$1</f>
        <v>2018</v>
      </c>
      <c r="C58" s="221">
        <f>+C$1</f>
        <v>2019</v>
      </c>
      <c r="D58" s="443" t="s">
        <v>148</v>
      </c>
      <c r="E58" s="443"/>
      <c r="F58" s="221">
        <f>+B58</f>
        <v>2018</v>
      </c>
      <c r="G58" s="221">
        <f>+C58</f>
        <v>2019</v>
      </c>
      <c r="H58" s="443" t="s">
        <v>148</v>
      </c>
      <c r="I58" s="443"/>
    </row>
    <row r="59" spans="1:9" ht="12.75">
      <c r="A59" s="442"/>
      <c r="B59" s="221" t="s">
        <v>138</v>
      </c>
      <c r="C59" s="221" t="s">
        <v>138</v>
      </c>
      <c r="D59" s="221" t="s">
        <v>138</v>
      </c>
      <c r="E59" s="221" t="s">
        <v>140</v>
      </c>
      <c r="F59" s="221" t="s">
        <v>138</v>
      </c>
      <c r="G59" s="221" t="s">
        <v>138</v>
      </c>
      <c r="H59" s="221" t="s">
        <v>138</v>
      </c>
      <c r="I59" s="221" t="s">
        <v>140</v>
      </c>
    </row>
    <row r="60" spans="1:9" ht="12.75">
      <c r="A60" s="218" t="s">
        <v>149</v>
      </c>
      <c r="B60" s="222" t="e">
        <f>+B28</f>
        <v>#REF!</v>
      </c>
      <c r="C60" s="222" t="e">
        <f>+C28</f>
        <v>#REF!</v>
      </c>
      <c r="D60" s="222" t="e">
        <f>+C60-B60</f>
        <v>#REF!</v>
      </c>
      <c r="E60" s="271" t="e">
        <f>+D60/B60</f>
        <v>#REF!</v>
      </c>
      <c r="F60" s="222" t="e">
        <f>+B44</f>
        <v>#REF!</v>
      </c>
      <c r="G60" s="222" t="e">
        <f>+C44</f>
        <v>#REF!</v>
      </c>
      <c r="H60" s="222" t="e">
        <f>+G60-F60</f>
        <v>#REF!</v>
      </c>
      <c r="I60" s="271" t="e">
        <f>+H60/F60</f>
        <v>#REF!</v>
      </c>
    </row>
    <row r="61" spans="1:9" ht="12.75">
      <c r="A61" s="218" t="s">
        <v>150</v>
      </c>
      <c r="B61" s="222" t="e">
        <f>+B29</f>
        <v>#REF!</v>
      </c>
      <c r="C61" s="222" t="e">
        <f>+C29</f>
        <v>#REF!</v>
      </c>
      <c r="D61" s="222" t="e">
        <f>+C61-B61</f>
        <v>#REF!</v>
      </c>
      <c r="E61" s="271" t="e">
        <f>+D61/B61</f>
        <v>#REF!</v>
      </c>
      <c r="F61" s="222" t="e">
        <f>+B45</f>
        <v>#REF!</v>
      </c>
      <c r="G61" s="222" t="e">
        <f>+C45</f>
        <v>#REF!</v>
      </c>
      <c r="H61" s="222" t="e">
        <f>+G61-F61</f>
        <v>#REF!</v>
      </c>
      <c r="I61" s="271" t="e">
        <f>+H61/F61</f>
        <v>#REF!</v>
      </c>
    </row>
    <row r="62" spans="1:9" ht="12.75">
      <c r="A62" s="226" t="s">
        <v>31</v>
      </c>
      <c r="B62" s="227" t="e">
        <f>+B60+B61</f>
        <v>#REF!</v>
      </c>
      <c r="C62" s="227" t="e">
        <f>+C60+C61</f>
        <v>#REF!</v>
      </c>
      <c r="D62" s="227" t="e">
        <f>+C62-B62</f>
        <v>#REF!</v>
      </c>
      <c r="E62" s="272" t="e">
        <f>+D62/B62</f>
        <v>#REF!</v>
      </c>
      <c r="F62" s="227" t="e">
        <f>+F60+F61</f>
        <v>#REF!</v>
      </c>
      <c r="G62" s="227" t="e">
        <f>+G60+G61</f>
        <v>#REF!</v>
      </c>
      <c r="H62" s="227" t="e">
        <f>+G62-F62</f>
        <v>#REF!</v>
      </c>
      <c r="I62" s="272" t="e">
        <f>+H62/F62</f>
        <v>#REF!</v>
      </c>
    </row>
    <row r="63" spans="1:5" ht="12.75">
      <c r="A63" s="331"/>
      <c r="B63" s="331"/>
      <c r="C63" s="331"/>
      <c r="D63" s="331"/>
      <c r="E63" s="332"/>
    </row>
    <row r="64" spans="1:9" ht="12.75">
      <c r="A64" s="441" t="s">
        <v>201</v>
      </c>
      <c r="B64" s="221">
        <f>+B$1</f>
        <v>2018</v>
      </c>
      <c r="C64" s="221">
        <f>+C$1</f>
        <v>2019</v>
      </c>
      <c r="D64" s="443" t="s">
        <v>148</v>
      </c>
      <c r="E64" s="443"/>
      <c r="F64" s="221">
        <f>+B64</f>
        <v>2018</v>
      </c>
      <c r="G64" s="221">
        <f>+C64</f>
        <v>2019</v>
      </c>
      <c r="H64" s="443" t="s">
        <v>148</v>
      </c>
      <c r="I64" s="443"/>
    </row>
    <row r="65" spans="1:9" ht="12.75">
      <c r="A65" s="442"/>
      <c r="B65" s="221" t="s">
        <v>27</v>
      </c>
      <c r="C65" s="221" t="s">
        <v>27</v>
      </c>
      <c r="D65" s="221" t="s">
        <v>27</v>
      </c>
      <c r="E65" s="221" t="s">
        <v>140</v>
      </c>
      <c r="F65" s="221" t="s">
        <v>27</v>
      </c>
      <c r="G65" s="221" t="s">
        <v>27</v>
      </c>
      <c r="H65" s="221" t="s">
        <v>27</v>
      </c>
      <c r="I65" s="221" t="s">
        <v>140</v>
      </c>
    </row>
    <row r="66" spans="1:9" ht="12.75">
      <c r="A66" s="218" t="e">
        <f>+A34&amp;" (Qn="&amp;'pevná složka'!B7&amp;")"</f>
        <v>#REF!</v>
      </c>
      <c r="B66" s="236" t="e">
        <f aca="true" t="shared" si="1" ref="B66:C69">+B34</f>
        <v>#REF!</v>
      </c>
      <c r="C66" s="236" t="e">
        <f t="shared" si="1"/>
        <v>#REF!</v>
      </c>
      <c r="D66" s="236" t="e">
        <f>+C66-B66</f>
        <v>#REF!</v>
      </c>
      <c r="E66" s="271" t="e">
        <f>+D66/B66</f>
        <v>#REF!</v>
      </c>
      <c r="F66" s="236" t="e">
        <f aca="true" t="shared" si="2" ref="F66:G69">+B50</f>
        <v>#REF!</v>
      </c>
      <c r="G66" s="236" t="e">
        <f t="shared" si="2"/>
        <v>#REF!</v>
      </c>
      <c r="H66" s="236" t="e">
        <f>+G66-F66</f>
        <v>#REF!</v>
      </c>
      <c r="I66" s="271" t="e">
        <f>+H66/F66</f>
        <v>#REF!</v>
      </c>
    </row>
    <row r="67" spans="1:9" ht="12.75">
      <c r="A67" s="218" t="e">
        <f>+A35&amp;" (Qn="&amp;'pevná složka'!B8&amp;")"</f>
        <v>#REF!</v>
      </c>
      <c r="B67" s="236" t="e">
        <f t="shared" si="1"/>
        <v>#REF!</v>
      </c>
      <c r="C67" s="236" t="e">
        <f t="shared" si="1"/>
        <v>#REF!</v>
      </c>
      <c r="D67" s="236" t="e">
        <f>+C67-B67</f>
        <v>#REF!</v>
      </c>
      <c r="E67" s="271" t="e">
        <f>+D67/B67</f>
        <v>#REF!</v>
      </c>
      <c r="F67" s="236" t="e">
        <f t="shared" si="2"/>
        <v>#REF!</v>
      </c>
      <c r="G67" s="236" t="e">
        <f t="shared" si="2"/>
        <v>#REF!</v>
      </c>
      <c r="H67" s="236" t="e">
        <f>+G67-F67</f>
        <v>#REF!</v>
      </c>
      <c r="I67" s="271" t="e">
        <f>+H67/F67</f>
        <v>#REF!</v>
      </c>
    </row>
    <row r="68" spans="1:9" ht="12.75">
      <c r="A68" s="218" t="e">
        <f>+A36&amp;" (Qn="&amp;'pevná složka'!B9&amp;")"</f>
        <v>#REF!</v>
      </c>
      <c r="B68" s="236" t="e">
        <f t="shared" si="1"/>
        <v>#REF!</v>
      </c>
      <c r="C68" s="236" t="e">
        <f t="shared" si="1"/>
        <v>#REF!</v>
      </c>
      <c r="D68" s="236" t="e">
        <f>+C68-B68</f>
        <v>#REF!</v>
      </c>
      <c r="E68" s="271" t="e">
        <f>+D68/B68</f>
        <v>#REF!</v>
      </c>
      <c r="F68" s="236" t="e">
        <f t="shared" si="2"/>
        <v>#REF!</v>
      </c>
      <c r="G68" s="236" t="e">
        <f t="shared" si="2"/>
        <v>#REF!</v>
      </c>
      <c r="H68" s="236" t="e">
        <f>+G68-F68</f>
        <v>#REF!</v>
      </c>
      <c r="I68" s="271" t="e">
        <f>+H68/F68</f>
        <v>#REF!</v>
      </c>
    </row>
    <row r="69" spans="1:9" ht="12.75">
      <c r="A69" s="218" t="e">
        <f>+A37&amp;" (Qn="&amp;'pevná složka'!B10&amp;")"</f>
        <v>#REF!</v>
      </c>
      <c r="B69" s="236" t="e">
        <f t="shared" si="1"/>
        <v>#REF!</v>
      </c>
      <c r="C69" s="236" t="e">
        <f t="shared" si="1"/>
        <v>#REF!</v>
      </c>
      <c r="D69" s="236" t="e">
        <f>+C69-B69</f>
        <v>#REF!</v>
      </c>
      <c r="E69" s="271" t="e">
        <f>+D69/B69</f>
        <v>#REF!</v>
      </c>
      <c r="F69" s="236" t="e">
        <f t="shared" si="2"/>
        <v>#REF!</v>
      </c>
      <c r="G69" s="236" t="e">
        <f t="shared" si="2"/>
        <v>#REF!</v>
      </c>
      <c r="H69" s="236" t="e">
        <f>+G69-F69</f>
        <v>#REF!</v>
      </c>
      <c r="I69" s="271" t="e">
        <f>+H69/F69</f>
        <v>#REF!</v>
      </c>
    </row>
    <row r="72" spans="1:2" ht="31.5" customHeight="1">
      <c r="A72" s="437" t="s">
        <v>243</v>
      </c>
      <c r="B72" s="438"/>
    </row>
    <row r="73" spans="1:2" ht="23.25" customHeight="1">
      <c r="A73" s="333" t="s">
        <v>149</v>
      </c>
      <c r="B73" s="334" t="e">
        <f>+C60</f>
        <v>#REF!</v>
      </c>
    </row>
    <row r="74" spans="1:2" ht="23.25" customHeight="1">
      <c r="A74" s="333" t="s">
        <v>150</v>
      </c>
      <c r="B74" s="334" t="e">
        <f>+C61</f>
        <v>#REF!</v>
      </c>
    </row>
    <row r="75" spans="1:2" ht="23.25" customHeight="1">
      <c r="A75" s="335" t="s">
        <v>31</v>
      </c>
      <c r="B75" s="336" t="e">
        <f>+B73+B74</f>
        <v>#REF!</v>
      </c>
    </row>
    <row r="76" spans="1:2" ht="20.25" customHeight="1">
      <c r="A76" s="337"/>
      <c r="B76" s="337"/>
    </row>
    <row r="77" spans="1:4" ht="36.75" customHeight="1">
      <c r="A77" s="338" t="s">
        <v>244</v>
      </c>
      <c r="B77" s="338" t="s">
        <v>149</v>
      </c>
      <c r="C77" s="338" t="s">
        <v>150</v>
      </c>
      <c r="D77" s="338" t="s">
        <v>31</v>
      </c>
    </row>
    <row r="78" spans="1:4" ht="23.25" customHeight="1">
      <c r="A78" s="333" t="e">
        <f>+A66</f>
        <v>#REF!</v>
      </c>
      <c r="B78" s="339" t="e">
        <f>+'pevná složka'!G7</f>
        <v>#REF!</v>
      </c>
      <c r="C78" s="339" t="e">
        <f>+'pevná složka'!H7</f>
        <v>#REF!</v>
      </c>
      <c r="D78" s="340" t="e">
        <f>+B78+C78</f>
        <v>#REF!</v>
      </c>
    </row>
    <row r="79" spans="1:4" ht="23.25" customHeight="1">
      <c r="A79" s="333" t="e">
        <f>+A67</f>
        <v>#REF!</v>
      </c>
      <c r="B79" s="339" t="e">
        <f>+'pevná složka'!G8</f>
        <v>#REF!</v>
      </c>
      <c r="C79" s="339" t="e">
        <f>+'pevná složka'!H8</f>
        <v>#REF!</v>
      </c>
      <c r="D79" s="340" t="e">
        <f>+B79+C79</f>
        <v>#REF!</v>
      </c>
    </row>
    <row r="80" spans="1:4" ht="23.25" customHeight="1">
      <c r="A80" s="333" t="e">
        <f>+A68</f>
        <v>#REF!</v>
      </c>
      <c r="B80" s="339" t="e">
        <f>+'pevná složka'!G9</f>
        <v>#REF!</v>
      </c>
      <c r="C80" s="339" t="e">
        <f>+'pevná složka'!H9</f>
        <v>#REF!</v>
      </c>
      <c r="D80" s="340" t="e">
        <f>+B80+C80</f>
        <v>#REF!</v>
      </c>
    </row>
    <row r="81" spans="1:4" ht="23.25" customHeight="1">
      <c r="A81" s="333" t="e">
        <f>+A69</f>
        <v>#REF!</v>
      </c>
      <c r="B81" s="339" t="e">
        <f>+'pevná složka'!G10</f>
        <v>#REF!</v>
      </c>
      <c r="C81" s="339" t="e">
        <f>+'pevná složka'!H10</f>
        <v>#REF!</v>
      </c>
      <c r="D81" s="340" t="e">
        <f>+B81+C81</f>
        <v>#REF!</v>
      </c>
    </row>
  </sheetData>
  <sheetProtection/>
  <mergeCells count="32">
    <mergeCell ref="G7:K7"/>
    <mergeCell ref="G8:G9"/>
    <mergeCell ref="J8:K8"/>
    <mergeCell ref="A31:E31"/>
    <mergeCell ref="H58:I58"/>
    <mergeCell ref="F57:I57"/>
    <mergeCell ref="D32:E32"/>
    <mergeCell ref="H64:I64"/>
    <mergeCell ref="A58:A59"/>
    <mergeCell ref="D58:E58"/>
    <mergeCell ref="A64:A65"/>
    <mergeCell ref="D64:E64"/>
    <mergeCell ref="B57:E57"/>
    <mergeCell ref="D1:E1"/>
    <mergeCell ref="A1:A2"/>
    <mergeCell ref="A8:A9"/>
    <mergeCell ref="D8:E8"/>
    <mergeCell ref="A14:A15"/>
    <mergeCell ref="A25:E25"/>
    <mergeCell ref="D19:E19"/>
    <mergeCell ref="A7:E7"/>
    <mergeCell ref="A19:A20"/>
    <mergeCell ref="A72:B72"/>
    <mergeCell ref="A47:E47"/>
    <mergeCell ref="A48:A49"/>
    <mergeCell ref="D48:E48"/>
    <mergeCell ref="A26:A27"/>
    <mergeCell ref="D41:E41"/>
    <mergeCell ref="D26:E26"/>
    <mergeCell ref="A40:E40"/>
    <mergeCell ref="A41:A42"/>
    <mergeCell ref="A32:A33"/>
  </mergeCells>
  <printOptions/>
  <pageMargins left="0.7086614173228347" right="0.7086614173228347" top="0.62" bottom="0.2362204724409449" header="0.36" footer="0.31496062992125984"/>
  <pageSetup horizontalDpi="600" verticalDpi="600" orientation="portrait" paperSize="9" r:id="rId1"/>
  <headerFooter>
    <oddHeader>&amp;C&amp;F&amp;R&amp;D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A1:E35"/>
  <sheetViews>
    <sheetView zoomScalePageLayoutView="0" workbookViewId="0" topLeftCell="A1">
      <selection activeCell="F39" sqref="F39"/>
    </sheetView>
  </sheetViews>
  <sheetFormatPr defaultColWidth="9.00390625" defaultRowHeight="12.75"/>
  <cols>
    <col min="1" max="1" width="21.625" style="302" customWidth="1"/>
    <col min="2" max="2" width="11.125" style="302" customWidth="1"/>
    <col min="3" max="16384" width="9.125" style="302" customWidth="1"/>
  </cols>
  <sheetData>
    <row r="1" ht="18.75">
      <c r="A1" s="366" t="s">
        <v>265</v>
      </c>
    </row>
    <row r="3" spans="1:5" ht="18">
      <c r="A3" s="455" t="s">
        <v>213</v>
      </c>
      <c r="B3" s="456"/>
      <c r="C3" s="456"/>
      <c r="D3" s="456"/>
      <c r="E3" s="457"/>
    </row>
    <row r="4" spans="1:5" ht="15">
      <c r="A4" s="452" t="s">
        <v>199</v>
      </c>
      <c r="B4" s="360">
        <f>+C4-1</f>
        <v>2018</v>
      </c>
      <c r="C4" s="360">
        <f>+zadání!C6</f>
        <v>2019</v>
      </c>
      <c r="D4" s="454" t="s">
        <v>148</v>
      </c>
      <c r="E4" s="454"/>
    </row>
    <row r="5" spans="1:5" ht="15">
      <c r="A5" s="453"/>
      <c r="B5" s="360" t="s">
        <v>138</v>
      </c>
      <c r="C5" s="360" t="s">
        <v>138</v>
      </c>
      <c r="D5" s="360" t="s">
        <v>138</v>
      </c>
      <c r="E5" s="360" t="s">
        <v>140</v>
      </c>
    </row>
    <row r="6" spans="1:5" ht="15">
      <c r="A6" s="365" t="s">
        <v>247</v>
      </c>
      <c r="B6" s="364">
        <v>0.15</v>
      </c>
      <c r="C6" s="364">
        <v>0.15</v>
      </c>
      <c r="D6" s="364"/>
      <c r="E6" s="364"/>
    </row>
    <row r="7" spans="1:5" ht="15">
      <c r="A7" s="359" t="s">
        <v>149</v>
      </c>
      <c r="B7" s="363" t="e">
        <f>+Prezentace!B44</f>
        <v>#REF!</v>
      </c>
      <c r="C7" s="363" t="e">
        <f>+Prezentace!C44</f>
        <v>#REF!</v>
      </c>
      <c r="D7" s="363" t="e">
        <f>+C7-B7</f>
        <v>#REF!</v>
      </c>
      <c r="E7" s="271" t="e">
        <f>+D7/B7</f>
        <v>#REF!</v>
      </c>
    </row>
    <row r="8" spans="1:5" ht="15">
      <c r="A8" s="359" t="s">
        <v>150</v>
      </c>
      <c r="B8" s="363" t="e">
        <f>+Prezentace!B45</f>
        <v>#REF!</v>
      </c>
      <c r="C8" s="363" t="e">
        <f>+Prezentace!C45</f>
        <v>#REF!</v>
      </c>
      <c r="D8" s="363" t="e">
        <f>+C8-B8</f>
        <v>#REF!</v>
      </c>
      <c r="E8" s="271" t="e">
        <f>+D8/B8</f>
        <v>#REF!</v>
      </c>
    </row>
    <row r="9" spans="1:5" ht="15">
      <c r="A9" s="362" t="s">
        <v>31</v>
      </c>
      <c r="B9" s="361" t="e">
        <f>SUM(B7:B8)</f>
        <v>#REF!</v>
      </c>
      <c r="C9" s="361" t="e">
        <f>SUM(C7:C8)</f>
        <v>#REF!</v>
      </c>
      <c r="D9" s="361" t="e">
        <f>SUM(D7:D8)</f>
        <v>#REF!</v>
      </c>
      <c r="E9" s="272" t="e">
        <f>+D9/B9</f>
        <v>#REF!</v>
      </c>
    </row>
    <row r="10" spans="1:5" ht="15">
      <c r="A10" s="450"/>
      <c r="B10" s="450"/>
      <c r="C10" s="450"/>
      <c r="D10" s="450"/>
      <c r="E10" s="451"/>
    </row>
    <row r="11" spans="1:5" ht="15">
      <c r="A11" s="452" t="s">
        <v>200</v>
      </c>
      <c r="B11" s="360">
        <f>+C11-1</f>
        <v>2018</v>
      </c>
      <c r="C11" s="360">
        <f>+C4</f>
        <v>2019</v>
      </c>
      <c r="D11" s="454" t="s">
        <v>148</v>
      </c>
      <c r="E11" s="454"/>
    </row>
    <row r="12" spans="1:5" ht="15">
      <c r="A12" s="453"/>
      <c r="B12" s="360" t="s">
        <v>27</v>
      </c>
      <c r="C12" s="360" t="s">
        <v>27</v>
      </c>
      <c r="D12" s="360" t="s">
        <v>27</v>
      </c>
      <c r="E12" s="360" t="s">
        <v>140</v>
      </c>
    </row>
    <row r="13" spans="1:5" ht="15">
      <c r="A13" s="359" t="s">
        <v>192</v>
      </c>
      <c r="B13" s="358" t="e">
        <f>+Prezentace!B50</f>
        <v>#REF!</v>
      </c>
      <c r="C13" s="358" t="e">
        <f>+Prezentace!C50</f>
        <v>#REF!</v>
      </c>
      <c r="D13" s="358" t="e">
        <f>+C13-B13</f>
        <v>#REF!</v>
      </c>
      <c r="E13" s="271" t="e">
        <f>+D13/B13</f>
        <v>#REF!</v>
      </c>
    </row>
    <row r="14" spans="1:5" ht="15">
      <c r="A14" s="359" t="s">
        <v>193</v>
      </c>
      <c r="B14" s="358" t="e">
        <f>+Prezentace!B51</f>
        <v>#REF!</v>
      </c>
      <c r="C14" s="358" t="e">
        <f>+Prezentace!C51</f>
        <v>#REF!</v>
      </c>
      <c r="D14" s="358" t="e">
        <f>+C14-B14</f>
        <v>#REF!</v>
      </c>
      <c r="E14" s="271" t="e">
        <f>+D14/B14</f>
        <v>#REF!</v>
      </c>
    </row>
    <row r="15" spans="1:5" ht="15">
      <c r="A15" s="359" t="s">
        <v>194</v>
      </c>
      <c r="B15" s="358" t="e">
        <f>+Prezentace!B52</f>
        <v>#REF!</v>
      </c>
      <c r="C15" s="358" t="e">
        <f>+Prezentace!C52</f>
        <v>#REF!</v>
      </c>
      <c r="D15" s="358" t="e">
        <f>+C15-B15</f>
        <v>#REF!</v>
      </c>
      <c r="E15" s="271" t="e">
        <f>+D15/B15</f>
        <v>#REF!</v>
      </c>
    </row>
    <row r="16" spans="1:5" ht="15">
      <c r="A16" s="359" t="s">
        <v>195</v>
      </c>
      <c r="B16" s="358" t="e">
        <f>+Prezentace!B53</f>
        <v>#REF!</v>
      </c>
      <c r="C16" s="358" t="e">
        <f>+Prezentace!C53</f>
        <v>#REF!</v>
      </c>
      <c r="D16" s="358" t="e">
        <f>+C16-B16</f>
        <v>#REF!</v>
      </c>
      <c r="E16" s="271" t="e">
        <f>+D16/B16</f>
        <v>#REF!</v>
      </c>
    </row>
    <row r="18" ht="18">
      <c r="A18" s="357" t="s">
        <v>264</v>
      </c>
    </row>
    <row r="20" spans="1:4" ht="15">
      <c r="A20" s="353" t="s">
        <v>263</v>
      </c>
      <c r="C20" s="353">
        <f>4*36</f>
        <v>144</v>
      </c>
      <c r="D20" s="354" t="s">
        <v>259</v>
      </c>
    </row>
    <row r="21" spans="1:4" ht="15">
      <c r="A21" s="353" t="s">
        <v>261</v>
      </c>
      <c r="C21" s="353"/>
      <c r="D21" s="354"/>
    </row>
    <row r="22" spans="1:4" ht="15">
      <c r="A22" s="302" t="s">
        <v>257</v>
      </c>
      <c r="B22" s="356" t="e">
        <f>+B$7*$C20+B$13/2</f>
        <v>#REF!</v>
      </c>
      <c r="C22" s="356" t="e">
        <f>+C$7*$C20+C$13/2</f>
        <v>#REF!</v>
      </c>
      <c r="D22" s="354" t="s">
        <v>198</v>
      </c>
    </row>
    <row r="23" spans="1:4" ht="15">
      <c r="A23" s="353" t="s">
        <v>256</v>
      </c>
      <c r="B23" s="355" t="e">
        <f>+B22/$C20</f>
        <v>#REF!</v>
      </c>
      <c r="C23" s="355" t="e">
        <f>+C22/$C20</f>
        <v>#REF!</v>
      </c>
      <c r="D23" s="354" t="s">
        <v>255</v>
      </c>
    </row>
    <row r="25" spans="1:4" ht="15">
      <c r="A25" s="353" t="s">
        <v>262</v>
      </c>
      <c r="C25" s="353">
        <f>4*36</f>
        <v>144</v>
      </c>
      <c r="D25" s="354" t="s">
        <v>259</v>
      </c>
    </row>
    <row r="26" spans="1:4" ht="15">
      <c r="A26" s="353" t="s">
        <v>261</v>
      </c>
      <c r="C26" s="353"/>
      <c r="D26" s="354"/>
    </row>
    <row r="27" spans="1:4" ht="15">
      <c r="A27" s="302" t="s">
        <v>257</v>
      </c>
      <c r="B27" s="356" t="e">
        <f>+B$9*$C25+B$13</f>
        <v>#REF!</v>
      </c>
      <c r="C27" s="356" t="e">
        <f>+C$9*$C25+C$13</f>
        <v>#REF!</v>
      </c>
      <c r="D27" s="354" t="s">
        <v>198</v>
      </c>
    </row>
    <row r="28" spans="1:4" ht="15">
      <c r="A28" s="353" t="s">
        <v>256</v>
      </c>
      <c r="B28" s="355" t="e">
        <f>+B27/$C25</f>
        <v>#REF!</v>
      </c>
      <c r="C28" s="355" t="e">
        <f>+C27/$C25</f>
        <v>#REF!</v>
      </c>
      <c r="D28" s="354" t="s">
        <v>255</v>
      </c>
    </row>
    <row r="30" spans="1:4" ht="15">
      <c r="A30" s="353" t="s">
        <v>260</v>
      </c>
      <c r="C30" s="353">
        <f>36*3*50</f>
        <v>5400</v>
      </c>
      <c r="D30" s="354" t="s">
        <v>259</v>
      </c>
    </row>
    <row r="31" spans="1:4" ht="15">
      <c r="A31" s="353" t="s">
        <v>258</v>
      </c>
      <c r="C31" s="353"/>
      <c r="D31" s="354"/>
    </row>
    <row r="32" spans="1:4" ht="15">
      <c r="A32" s="302" t="s">
        <v>257</v>
      </c>
      <c r="B32" s="356" t="e">
        <f>+B$9*$C30+B$15</f>
        <v>#REF!</v>
      </c>
      <c r="C32" s="356" t="e">
        <f>+C$9*$C30+C$15</f>
        <v>#REF!</v>
      </c>
      <c r="D32" s="354" t="s">
        <v>198</v>
      </c>
    </row>
    <row r="33" spans="1:4" ht="15">
      <c r="A33" s="353" t="s">
        <v>256</v>
      </c>
      <c r="B33" s="355" t="e">
        <f>+B32/$C30</f>
        <v>#REF!</v>
      </c>
      <c r="C33" s="355" t="e">
        <f>+C32/$C30</f>
        <v>#REF!</v>
      </c>
      <c r="D33" s="354" t="s">
        <v>255</v>
      </c>
    </row>
    <row r="35" ht="15">
      <c r="A35" s="353" t="s">
        <v>254</v>
      </c>
    </row>
  </sheetData>
  <sheetProtection/>
  <mergeCells count="6">
    <mergeCell ref="A10:E10"/>
    <mergeCell ref="A11:A12"/>
    <mergeCell ref="D11:E11"/>
    <mergeCell ref="D4:E4"/>
    <mergeCell ref="A3:E3"/>
    <mergeCell ref="A4:A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>
    <tabColor indexed="42"/>
  </sheetPr>
  <dimension ref="A1:G81"/>
  <sheetViews>
    <sheetView zoomScalePageLayoutView="0" workbookViewId="0" topLeftCell="A13">
      <selection activeCell="F56" sqref="F56"/>
    </sheetView>
  </sheetViews>
  <sheetFormatPr defaultColWidth="9.00390625" defaultRowHeight="12.75"/>
  <cols>
    <col min="1" max="1" width="7.25390625" style="396" customWidth="1"/>
    <col min="2" max="2" width="39.375" style="397" customWidth="1"/>
    <col min="3" max="3" width="7.75390625" style="398" customWidth="1"/>
    <col min="4" max="4" width="10.25390625" style="398" customWidth="1"/>
    <col min="5" max="5" width="11.625" style="399" customWidth="1"/>
    <col min="6" max="6" width="13.00390625" style="399" customWidth="1"/>
    <col min="7" max="7" width="12.875" style="399" customWidth="1"/>
    <col min="8" max="8" width="9.125" style="394" customWidth="1"/>
    <col min="9" max="16384" width="9.125" style="394" customWidth="1"/>
  </cols>
  <sheetData>
    <row r="1" spans="1:7" ht="21.75" customHeight="1">
      <c r="A1" s="471" t="s">
        <v>340</v>
      </c>
      <c r="B1" s="471"/>
      <c r="C1" s="471"/>
      <c r="D1" s="471"/>
      <c r="E1" s="471"/>
      <c r="F1" s="471"/>
      <c r="G1" s="471"/>
    </row>
    <row r="2" spans="1:7" ht="21.75" customHeight="1">
      <c r="A2" s="401"/>
      <c r="B2" s="401"/>
      <c r="C2" s="474"/>
      <c r="D2" s="474"/>
      <c r="E2" s="474"/>
      <c r="F2" s="474"/>
      <c r="G2" s="474"/>
    </row>
    <row r="3" spans="1:7" ht="21.75" customHeight="1">
      <c r="A3" s="402" t="s">
        <v>280</v>
      </c>
      <c r="B3" s="402" t="s">
        <v>333</v>
      </c>
      <c r="C3" s="459" t="s">
        <v>334</v>
      </c>
      <c r="D3" s="459"/>
      <c r="E3" s="459"/>
      <c r="F3" s="459"/>
      <c r="G3" s="459"/>
    </row>
    <row r="4" spans="1:7" ht="21.75" customHeight="1">
      <c r="A4" s="402" t="s">
        <v>281</v>
      </c>
      <c r="B4" s="402" t="s">
        <v>282</v>
      </c>
      <c r="C4" s="459" t="s">
        <v>335</v>
      </c>
      <c r="D4" s="459"/>
      <c r="E4" s="459"/>
      <c r="F4" s="459"/>
      <c r="G4" s="459"/>
    </row>
    <row r="5" spans="1:7" ht="21.75" customHeight="1">
      <c r="A5" s="402" t="s">
        <v>283</v>
      </c>
      <c r="B5" s="402" t="s">
        <v>284</v>
      </c>
      <c r="C5" s="460" t="s">
        <v>336</v>
      </c>
      <c r="D5" s="460"/>
      <c r="E5" s="460"/>
      <c r="F5" s="460"/>
      <c r="G5" s="460"/>
    </row>
    <row r="6" spans="1:7" ht="21.75" customHeight="1">
      <c r="A6" s="402" t="s">
        <v>285</v>
      </c>
      <c r="B6" s="402" t="s">
        <v>286</v>
      </c>
      <c r="C6" s="461" t="s">
        <v>341</v>
      </c>
      <c r="D6" s="462"/>
      <c r="E6" s="462"/>
      <c r="F6" s="462"/>
      <c r="G6" s="463"/>
    </row>
    <row r="7" spans="1:7" ht="21.75" customHeight="1">
      <c r="A7" s="402" t="s">
        <v>11</v>
      </c>
      <c r="B7" s="402" t="s">
        <v>287</v>
      </c>
      <c r="C7" s="464"/>
      <c r="D7" s="465"/>
      <c r="E7" s="465"/>
      <c r="F7" s="465"/>
      <c r="G7" s="466"/>
    </row>
    <row r="8" spans="1:7" ht="46.5" customHeight="1">
      <c r="A8" s="402" t="s">
        <v>288</v>
      </c>
      <c r="B8" s="402" t="s">
        <v>289</v>
      </c>
      <c r="C8" s="475" t="s">
        <v>337</v>
      </c>
      <c r="D8" s="475"/>
      <c r="E8" s="475"/>
      <c r="F8" s="475"/>
      <c r="G8" s="475"/>
    </row>
    <row r="9" spans="1:7" ht="20.25" customHeight="1">
      <c r="A9" s="400"/>
      <c r="B9" s="400"/>
      <c r="C9" s="400"/>
      <c r="D9" s="400"/>
      <c r="E9" s="400"/>
      <c r="F9" s="400"/>
      <c r="G9" s="400"/>
    </row>
    <row r="10" spans="1:7" ht="13.5" customHeight="1">
      <c r="A10" s="467" t="s">
        <v>224</v>
      </c>
      <c r="B10" s="467" t="s">
        <v>225</v>
      </c>
      <c r="C10" s="467"/>
      <c r="D10" s="467"/>
      <c r="E10" s="467"/>
      <c r="F10" s="467"/>
      <c r="G10" s="467"/>
    </row>
    <row r="11" spans="1:7" ht="30" customHeight="1">
      <c r="A11" s="467"/>
      <c r="B11" s="467" t="s">
        <v>293</v>
      </c>
      <c r="C11" s="469" t="s">
        <v>238</v>
      </c>
      <c r="D11" s="467" t="s">
        <v>292</v>
      </c>
      <c r="E11" s="467"/>
      <c r="F11" s="467" t="s">
        <v>147</v>
      </c>
      <c r="G11" s="467"/>
    </row>
    <row r="12" spans="1:7" ht="13.5" customHeight="1">
      <c r="A12" s="467"/>
      <c r="B12" s="467"/>
      <c r="C12" s="473"/>
      <c r="D12" s="403">
        <v>2019</v>
      </c>
      <c r="E12" s="403">
        <v>2020</v>
      </c>
      <c r="F12" s="403">
        <v>2019</v>
      </c>
      <c r="G12" s="403">
        <v>2020</v>
      </c>
    </row>
    <row r="13" spans="1:7" s="404" customFormat="1" ht="21" customHeight="1">
      <c r="A13" s="472"/>
      <c r="B13" s="472"/>
      <c r="C13" s="473"/>
      <c r="D13" s="395" t="s">
        <v>290</v>
      </c>
      <c r="E13" s="377" t="s">
        <v>291</v>
      </c>
      <c r="F13" s="377" t="s">
        <v>290</v>
      </c>
      <c r="G13" s="377" t="s">
        <v>291</v>
      </c>
    </row>
    <row r="14" spans="1:7" s="404" customFormat="1" ht="18.75" customHeight="1">
      <c r="A14" s="387" t="s">
        <v>294</v>
      </c>
      <c r="B14" s="387" t="s">
        <v>295</v>
      </c>
      <c r="C14" s="280" t="s">
        <v>296</v>
      </c>
      <c r="D14" s="280">
        <v>3</v>
      </c>
      <c r="E14" s="378">
        <v>4</v>
      </c>
      <c r="F14" s="378">
        <v>6</v>
      </c>
      <c r="G14" s="378">
        <v>7</v>
      </c>
    </row>
    <row r="15" spans="1:7" ht="12.75">
      <c r="A15" s="379" t="s">
        <v>96</v>
      </c>
      <c r="B15" s="284" t="s">
        <v>97</v>
      </c>
      <c r="C15" s="301" t="s">
        <v>100</v>
      </c>
      <c r="D15" s="405"/>
      <c r="E15" s="391"/>
      <c r="F15" s="391">
        <f>SUM(F16:F19)</f>
        <v>0.05</v>
      </c>
      <c r="G15" s="391">
        <f>SUM(G16:G19)</f>
        <v>0.04</v>
      </c>
    </row>
    <row r="16" spans="1:7" ht="12.75">
      <c r="A16" s="380" t="s">
        <v>98</v>
      </c>
      <c r="B16" s="282" t="s">
        <v>99</v>
      </c>
      <c r="C16" s="279" t="s">
        <v>297</v>
      </c>
      <c r="D16" s="406"/>
      <c r="E16" s="390"/>
      <c r="F16" s="390">
        <v>0</v>
      </c>
      <c r="G16" s="390">
        <v>0</v>
      </c>
    </row>
    <row r="17" spans="1:7" ht="25.5">
      <c r="A17" s="380" t="s">
        <v>101</v>
      </c>
      <c r="B17" s="282" t="s">
        <v>102</v>
      </c>
      <c r="C17" s="279" t="s">
        <v>297</v>
      </c>
      <c r="D17" s="406"/>
      <c r="E17" s="390"/>
      <c r="F17" s="390">
        <v>0</v>
      </c>
      <c r="G17" s="390">
        <v>0</v>
      </c>
    </row>
    <row r="18" spans="1:7" ht="12.75">
      <c r="A18" s="380" t="s">
        <v>103</v>
      </c>
      <c r="B18" s="282" t="s">
        <v>104</v>
      </c>
      <c r="C18" s="279" t="s">
        <v>297</v>
      </c>
      <c r="D18" s="406"/>
      <c r="E18" s="390"/>
      <c r="F18" s="390">
        <v>0</v>
      </c>
      <c r="G18" s="390">
        <v>0</v>
      </c>
    </row>
    <row r="19" spans="1:7" ht="12.75">
      <c r="A19" s="380" t="s">
        <v>105</v>
      </c>
      <c r="B19" s="282" t="s">
        <v>106</v>
      </c>
      <c r="C19" s="279" t="s">
        <v>297</v>
      </c>
      <c r="D19" s="406"/>
      <c r="E19" s="390"/>
      <c r="F19" s="390">
        <v>0.05</v>
      </c>
      <c r="G19" s="390">
        <f>0.01+0.03</f>
        <v>0.04</v>
      </c>
    </row>
    <row r="20" spans="1:7" ht="12.75">
      <c r="A20" s="381" t="s">
        <v>107</v>
      </c>
      <c r="B20" s="281" t="s">
        <v>108</v>
      </c>
      <c r="C20" s="279" t="s">
        <v>297</v>
      </c>
      <c r="D20" s="407"/>
      <c r="E20" s="392"/>
      <c r="F20" s="392">
        <v>0.15</v>
      </c>
      <c r="G20" s="392">
        <f>SUM(G21:G22)</f>
        <v>0.15</v>
      </c>
    </row>
    <row r="21" spans="1:7" ht="12.75">
      <c r="A21" s="380" t="s">
        <v>109</v>
      </c>
      <c r="B21" s="282" t="s">
        <v>110</v>
      </c>
      <c r="C21" s="279" t="s">
        <v>297</v>
      </c>
      <c r="D21" s="408"/>
      <c r="E21" s="390"/>
      <c r="F21" s="390">
        <v>0.126528</v>
      </c>
      <c r="G21" s="390">
        <v>0.15</v>
      </c>
    </row>
    <row r="22" spans="1:7" ht="15" customHeight="1">
      <c r="A22" s="380" t="s">
        <v>111</v>
      </c>
      <c r="B22" s="282" t="s">
        <v>223</v>
      </c>
      <c r="C22" s="279" t="s">
        <v>297</v>
      </c>
      <c r="D22" s="406"/>
      <c r="E22" s="390"/>
      <c r="F22" s="390">
        <v>0</v>
      </c>
      <c r="G22" s="390">
        <v>0</v>
      </c>
    </row>
    <row r="23" spans="1:7" ht="12.75">
      <c r="A23" s="381" t="s">
        <v>112</v>
      </c>
      <c r="B23" s="281" t="s">
        <v>113</v>
      </c>
      <c r="C23" s="279" t="s">
        <v>297</v>
      </c>
      <c r="D23" s="407"/>
      <c r="E23" s="392"/>
      <c r="F23" s="392">
        <v>0.08</v>
      </c>
      <c r="G23" s="392">
        <f>SUM(G24:G25)</f>
        <v>0.08</v>
      </c>
    </row>
    <row r="24" spans="1:7" ht="12.75">
      <c r="A24" s="380" t="s">
        <v>114</v>
      </c>
      <c r="B24" s="282" t="s">
        <v>115</v>
      </c>
      <c r="C24" s="279" t="s">
        <v>297</v>
      </c>
      <c r="D24" s="406"/>
      <c r="E24" s="390"/>
      <c r="F24" s="390">
        <v>0.065</v>
      </c>
      <c r="G24" s="390">
        <f>0.04+0.015+0.01</f>
        <v>0.065</v>
      </c>
    </row>
    <row r="25" spans="1:7" ht="12.75">
      <c r="A25" s="380" t="s">
        <v>116</v>
      </c>
      <c r="B25" s="282" t="s">
        <v>117</v>
      </c>
      <c r="C25" s="279" t="s">
        <v>297</v>
      </c>
      <c r="D25" s="406"/>
      <c r="E25" s="390"/>
      <c r="F25" s="390">
        <v>0.015</v>
      </c>
      <c r="G25" s="390">
        <v>0.015</v>
      </c>
    </row>
    <row r="26" spans="1:7" ht="12.75">
      <c r="A26" s="381" t="s">
        <v>118</v>
      </c>
      <c r="B26" s="283" t="s">
        <v>119</v>
      </c>
      <c r="C26" s="279" t="s">
        <v>297</v>
      </c>
      <c r="D26" s="407"/>
      <c r="E26" s="392"/>
      <c r="F26" s="392">
        <f>SUM(F27:F30)</f>
        <v>1.168</v>
      </c>
      <c r="G26" s="392">
        <f>SUM(G27:G30)</f>
        <v>1.218</v>
      </c>
    </row>
    <row r="27" spans="1:7" ht="12.75">
      <c r="A27" s="380" t="s">
        <v>120</v>
      </c>
      <c r="B27" s="282" t="s">
        <v>121</v>
      </c>
      <c r="C27" s="279" t="s">
        <v>297</v>
      </c>
      <c r="D27" s="406"/>
      <c r="E27" s="390"/>
      <c r="F27" s="390">
        <v>0</v>
      </c>
      <c r="G27" s="390">
        <v>0</v>
      </c>
    </row>
    <row r="28" spans="1:7" ht="12.75">
      <c r="A28" s="380" t="s">
        <v>122</v>
      </c>
      <c r="B28" s="282" t="s">
        <v>123</v>
      </c>
      <c r="C28" s="279" t="s">
        <v>297</v>
      </c>
      <c r="D28" s="406"/>
      <c r="E28" s="390"/>
      <c r="F28" s="390">
        <v>0.15</v>
      </c>
      <c r="G28" s="390">
        <v>0.2</v>
      </c>
    </row>
    <row r="29" spans="1:7" s="409" customFormat="1" ht="12.75">
      <c r="A29" s="380" t="s">
        <v>124</v>
      </c>
      <c r="B29" s="282" t="s">
        <v>125</v>
      </c>
      <c r="C29" s="279" t="s">
        <v>297</v>
      </c>
      <c r="D29" s="406"/>
      <c r="E29" s="390"/>
      <c r="F29" s="390">
        <v>0</v>
      </c>
      <c r="G29" s="390">
        <v>0</v>
      </c>
    </row>
    <row r="30" spans="1:7" s="409" customFormat="1" ht="12.75">
      <c r="A30" s="380" t="s">
        <v>126</v>
      </c>
      <c r="B30" s="282" t="s">
        <v>272</v>
      </c>
      <c r="C30" s="279" t="s">
        <v>297</v>
      </c>
      <c r="D30" s="406"/>
      <c r="E30" s="390"/>
      <c r="F30" s="390">
        <v>1.018</v>
      </c>
      <c r="G30" s="390">
        <v>1.018</v>
      </c>
    </row>
    <row r="31" spans="1:7" ht="12.75">
      <c r="A31" s="381" t="s">
        <v>130</v>
      </c>
      <c r="B31" s="283" t="s">
        <v>266</v>
      </c>
      <c r="C31" s="279" t="s">
        <v>297</v>
      </c>
      <c r="D31" s="407"/>
      <c r="E31" s="392"/>
      <c r="F31" s="392">
        <f>SUM(F32:F34)</f>
        <v>0.4</v>
      </c>
      <c r="G31" s="392">
        <f>SUM(G32:G34)</f>
        <v>0.4</v>
      </c>
    </row>
    <row r="32" spans="1:7" ht="12.75">
      <c r="A32" s="380" t="s">
        <v>273</v>
      </c>
      <c r="B32" s="282" t="s">
        <v>127</v>
      </c>
      <c r="C32" s="279" t="s">
        <v>297</v>
      </c>
      <c r="D32" s="406"/>
      <c r="E32" s="390"/>
      <c r="F32" s="390">
        <v>0</v>
      </c>
      <c r="G32" s="390">
        <v>0</v>
      </c>
    </row>
    <row r="33" spans="1:7" ht="12.75">
      <c r="A33" s="380" t="s">
        <v>267</v>
      </c>
      <c r="B33" s="282" t="s">
        <v>128</v>
      </c>
      <c r="C33" s="279" t="s">
        <v>297</v>
      </c>
      <c r="D33" s="406"/>
      <c r="E33" s="390"/>
      <c r="F33" s="390">
        <v>0.4</v>
      </c>
      <c r="G33" s="390">
        <v>0.4</v>
      </c>
    </row>
    <row r="34" spans="1:7" ht="12.75">
      <c r="A34" s="380" t="s">
        <v>268</v>
      </c>
      <c r="B34" s="282" t="s">
        <v>129</v>
      </c>
      <c r="C34" s="279" t="s">
        <v>297</v>
      </c>
      <c r="D34" s="406"/>
      <c r="E34" s="390"/>
      <c r="F34" s="390">
        <v>0</v>
      </c>
      <c r="G34" s="390">
        <v>0</v>
      </c>
    </row>
    <row r="35" spans="1:7" ht="12.75">
      <c r="A35" s="381" t="s">
        <v>132</v>
      </c>
      <c r="B35" s="283" t="s">
        <v>131</v>
      </c>
      <c r="C35" s="279" t="s">
        <v>297</v>
      </c>
      <c r="D35" s="407"/>
      <c r="E35" s="392"/>
      <c r="F35" s="392">
        <v>0</v>
      </c>
      <c r="G35" s="392">
        <v>0</v>
      </c>
    </row>
    <row r="36" spans="1:7" ht="12.75">
      <c r="A36" s="381" t="s">
        <v>134</v>
      </c>
      <c r="B36" s="283" t="s">
        <v>269</v>
      </c>
      <c r="C36" s="279" t="s">
        <v>297</v>
      </c>
      <c r="D36" s="407"/>
      <c r="E36" s="392"/>
      <c r="F36" s="392">
        <v>0</v>
      </c>
      <c r="G36" s="392">
        <v>0</v>
      </c>
    </row>
    <row r="37" spans="1:7" ht="12.75">
      <c r="A37" s="381" t="s">
        <v>136</v>
      </c>
      <c r="B37" s="283" t="s">
        <v>133</v>
      </c>
      <c r="C37" s="279" t="s">
        <v>297</v>
      </c>
      <c r="D37" s="407"/>
      <c r="E37" s="392"/>
      <c r="F37" s="392">
        <v>0.02</v>
      </c>
      <c r="G37" s="392">
        <v>0.02</v>
      </c>
    </row>
    <row r="38" spans="1:7" ht="12.75">
      <c r="A38" s="381" t="s">
        <v>139</v>
      </c>
      <c r="B38" s="281" t="s">
        <v>135</v>
      </c>
      <c r="C38" s="279" t="s">
        <v>297</v>
      </c>
      <c r="D38" s="407"/>
      <c r="E38" s="392"/>
      <c r="F38" s="392">
        <v>0.02</v>
      </c>
      <c r="G38" s="392">
        <v>0.02</v>
      </c>
    </row>
    <row r="39" spans="1:7" ht="12.75">
      <c r="A39" s="381" t="s">
        <v>141</v>
      </c>
      <c r="B39" s="281" t="s">
        <v>137</v>
      </c>
      <c r="C39" s="279" t="s">
        <v>297</v>
      </c>
      <c r="D39" s="407"/>
      <c r="E39" s="392"/>
      <c r="F39" s="392">
        <f>SUM(F15,F31,F26,F23,F20,F35:F38)</f>
        <v>1.888</v>
      </c>
      <c r="G39" s="392">
        <f>SUM(G15,G20,G23,G26,G31,G35:G38)</f>
        <v>1.928</v>
      </c>
    </row>
    <row r="40" spans="1:7" ht="25.5">
      <c r="A40" s="385" t="s">
        <v>229</v>
      </c>
      <c r="B40" s="282" t="s">
        <v>304</v>
      </c>
      <c r="C40" s="279" t="s">
        <v>297</v>
      </c>
      <c r="D40" s="410"/>
      <c r="E40" s="411"/>
      <c r="F40" s="411">
        <v>71.2625</v>
      </c>
      <c r="G40" s="411">
        <v>71.2625</v>
      </c>
    </row>
    <row r="41" spans="1:7" ht="25.5">
      <c r="A41" s="385" t="s">
        <v>228</v>
      </c>
      <c r="B41" s="282" t="s">
        <v>327</v>
      </c>
      <c r="C41" s="279" t="s">
        <v>297</v>
      </c>
      <c r="D41" s="410"/>
      <c r="E41" s="278"/>
      <c r="F41" s="278">
        <v>0</v>
      </c>
      <c r="G41" s="278">
        <v>0</v>
      </c>
    </row>
    <row r="42" spans="1:7" ht="12.75">
      <c r="A42" s="385" t="s">
        <v>227</v>
      </c>
      <c r="B42" s="282" t="s">
        <v>305</v>
      </c>
      <c r="C42" s="279" t="s">
        <v>313</v>
      </c>
      <c r="D42" s="280"/>
      <c r="E42" s="412"/>
      <c r="F42" s="413">
        <v>0.2</v>
      </c>
      <c r="G42" s="413">
        <v>0.2</v>
      </c>
    </row>
    <row r="43" spans="1:7" ht="12.75">
      <c r="A43" s="385" t="s">
        <v>226</v>
      </c>
      <c r="B43" s="282" t="s">
        <v>306</v>
      </c>
      <c r="C43" s="279" t="s">
        <v>314</v>
      </c>
      <c r="D43" s="280"/>
      <c r="E43" s="414"/>
      <c r="F43" s="414">
        <v>0</v>
      </c>
      <c r="G43" s="414">
        <v>0</v>
      </c>
    </row>
    <row r="44" spans="1:7" ht="12.75">
      <c r="A44" s="385" t="s">
        <v>298</v>
      </c>
      <c r="B44" s="282" t="s">
        <v>307</v>
      </c>
      <c r="C44" s="279" t="s">
        <v>314</v>
      </c>
      <c r="D44" s="280"/>
      <c r="E44" s="414"/>
      <c r="F44" s="414">
        <v>0</v>
      </c>
      <c r="G44" s="414">
        <v>0</v>
      </c>
    </row>
    <row r="45" spans="1:7" ht="12.75">
      <c r="A45" s="385" t="s">
        <v>299</v>
      </c>
      <c r="B45" s="282" t="s">
        <v>308</v>
      </c>
      <c r="C45" s="279" t="s">
        <v>314</v>
      </c>
      <c r="D45" s="280"/>
      <c r="E45" s="412"/>
      <c r="F45" s="414">
        <v>0.06</v>
      </c>
      <c r="G45" s="414">
        <v>0.06</v>
      </c>
    </row>
    <row r="46" spans="1:7" ht="12.75">
      <c r="A46" s="385" t="s">
        <v>300</v>
      </c>
      <c r="B46" s="282" t="s">
        <v>338</v>
      </c>
      <c r="C46" s="279" t="s">
        <v>314</v>
      </c>
      <c r="D46" s="280"/>
      <c r="E46" s="412"/>
      <c r="F46" s="414">
        <v>0.06</v>
      </c>
      <c r="G46" s="414">
        <v>0.06</v>
      </c>
    </row>
    <row r="47" spans="1:7" ht="12.75">
      <c r="A47" s="385" t="s">
        <v>301</v>
      </c>
      <c r="B47" s="282" t="s">
        <v>309</v>
      </c>
      <c r="C47" s="279" t="s">
        <v>314</v>
      </c>
      <c r="D47" s="280"/>
      <c r="E47" s="412"/>
      <c r="F47" s="414">
        <v>0</v>
      </c>
      <c r="G47" s="414">
        <v>0</v>
      </c>
    </row>
    <row r="48" spans="1:7" ht="12.75">
      <c r="A48" s="385" t="s">
        <v>280</v>
      </c>
      <c r="B48" s="282" t="s">
        <v>310</v>
      </c>
      <c r="C48" s="279" t="s">
        <v>314</v>
      </c>
      <c r="D48" s="280"/>
      <c r="E48" s="412"/>
      <c r="F48" s="414">
        <v>0.07</v>
      </c>
      <c r="G48" s="414">
        <v>0.075</v>
      </c>
    </row>
    <row r="49" spans="1:7" ht="12.75">
      <c r="A49" s="385" t="s">
        <v>302</v>
      </c>
      <c r="B49" s="282" t="s">
        <v>311</v>
      </c>
      <c r="C49" s="279" t="s">
        <v>314</v>
      </c>
      <c r="D49" s="280"/>
      <c r="E49" s="412"/>
      <c r="F49" s="412">
        <v>0</v>
      </c>
      <c r="G49" s="412">
        <v>0</v>
      </c>
    </row>
    <row r="50" spans="1:7" ht="12.75">
      <c r="A50" s="385" t="s">
        <v>303</v>
      </c>
      <c r="B50" s="282" t="s">
        <v>312</v>
      </c>
      <c r="C50" s="279" t="s">
        <v>314</v>
      </c>
      <c r="D50" s="280"/>
      <c r="E50" s="412"/>
      <c r="F50" s="412">
        <v>0</v>
      </c>
      <c r="G50" s="412">
        <v>0</v>
      </c>
    </row>
    <row r="51" spans="1:7" ht="12.75">
      <c r="A51" s="382"/>
      <c r="B51" s="276"/>
      <c r="C51" s="383"/>
      <c r="D51" s="275"/>
      <c r="E51" s="384"/>
      <c r="F51" s="384"/>
      <c r="G51" s="384"/>
    </row>
    <row r="52" spans="1:7" ht="12.75">
      <c r="A52" s="468" t="s">
        <v>224</v>
      </c>
      <c r="B52" s="468" t="s">
        <v>326</v>
      </c>
      <c r="C52" s="468"/>
      <c r="D52" s="468"/>
      <c r="E52" s="468"/>
      <c r="F52" s="468"/>
      <c r="G52" s="384"/>
    </row>
    <row r="53" spans="1:7" ht="25.5">
      <c r="A53" s="468"/>
      <c r="B53" s="476" t="s">
        <v>318</v>
      </c>
      <c r="C53" s="469" t="s">
        <v>319</v>
      </c>
      <c r="D53" s="469" t="s">
        <v>320</v>
      </c>
      <c r="E53" s="378" t="s">
        <v>323</v>
      </c>
      <c r="F53" s="378" t="s">
        <v>322</v>
      </c>
      <c r="G53" s="384"/>
    </row>
    <row r="54" spans="1:7" ht="12.75">
      <c r="A54" s="468"/>
      <c r="B54" s="477"/>
      <c r="C54" s="470"/>
      <c r="D54" s="470"/>
      <c r="E54" s="378" t="s">
        <v>321</v>
      </c>
      <c r="F54" s="378" t="s">
        <v>321</v>
      </c>
      <c r="G54" s="384"/>
    </row>
    <row r="55" spans="1:7" ht="15.75" customHeight="1">
      <c r="A55" s="387" t="s">
        <v>294</v>
      </c>
      <c r="B55" s="387" t="s">
        <v>295</v>
      </c>
      <c r="C55" s="387" t="s">
        <v>296</v>
      </c>
      <c r="D55" s="387" t="s">
        <v>315</v>
      </c>
      <c r="E55" s="387" t="s">
        <v>316</v>
      </c>
      <c r="F55" s="387" t="s">
        <v>317</v>
      </c>
      <c r="G55" s="386"/>
    </row>
    <row r="56" spans="1:7" ht="32.25" customHeight="1">
      <c r="A56" s="379" t="s">
        <v>142</v>
      </c>
      <c r="B56" s="371" t="s">
        <v>222</v>
      </c>
      <c r="C56" s="301" t="s">
        <v>138</v>
      </c>
      <c r="D56" s="389" t="s">
        <v>324</v>
      </c>
      <c r="E56" s="415"/>
      <c r="F56" s="278">
        <f>+G39/F61</f>
        <v>32.13333333333333</v>
      </c>
      <c r="G56" s="394"/>
    </row>
    <row r="57" spans="1:7" ht="12.75">
      <c r="A57" s="388" t="s">
        <v>145</v>
      </c>
      <c r="B57" s="369" t="s">
        <v>137</v>
      </c>
      <c r="C57" s="370" t="s">
        <v>325</v>
      </c>
      <c r="D57" s="370"/>
      <c r="E57" s="416"/>
      <c r="F57" s="390">
        <f>G39</f>
        <v>1.928</v>
      </c>
      <c r="G57" s="394"/>
    </row>
    <row r="58" spans="1:7" ht="12.75">
      <c r="A58" s="380" t="s">
        <v>218</v>
      </c>
      <c r="B58" s="282" t="s">
        <v>221</v>
      </c>
      <c r="C58" s="370" t="s">
        <v>325</v>
      </c>
      <c r="D58" s="279"/>
      <c r="E58" s="390"/>
      <c r="F58" s="390">
        <v>0</v>
      </c>
      <c r="G58" s="394"/>
    </row>
    <row r="59" spans="1:7" ht="12.75">
      <c r="A59" s="380" t="s">
        <v>217</v>
      </c>
      <c r="B59" s="282" t="s">
        <v>220</v>
      </c>
      <c r="C59" s="279" t="s">
        <v>140</v>
      </c>
      <c r="D59" s="279"/>
      <c r="E59" s="393"/>
      <c r="F59" s="393">
        <f>+F58/F57*100</f>
        <v>0</v>
      </c>
      <c r="G59" s="394"/>
    </row>
    <row r="60" spans="1:7" ht="12.75">
      <c r="A60" s="381" t="s">
        <v>216</v>
      </c>
      <c r="B60" s="281" t="s">
        <v>219</v>
      </c>
      <c r="C60" s="370" t="s">
        <v>325</v>
      </c>
      <c r="D60" s="280"/>
      <c r="E60" s="392"/>
      <c r="F60" s="392">
        <f>+G39+F58</f>
        <v>1.928</v>
      </c>
      <c r="G60" s="394"/>
    </row>
    <row r="61" spans="1:7" ht="12.75">
      <c r="A61" s="381" t="s">
        <v>215</v>
      </c>
      <c r="B61" s="281" t="s">
        <v>143</v>
      </c>
      <c r="C61" s="370" t="s">
        <v>325</v>
      </c>
      <c r="D61" s="280"/>
      <c r="E61" s="392"/>
      <c r="F61" s="392">
        <f>G45+G47</f>
        <v>0.06</v>
      </c>
      <c r="G61" s="394"/>
    </row>
    <row r="62" spans="1:7" ht="12.75">
      <c r="A62" s="380" t="s">
        <v>214</v>
      </c>
      <c r="B62" s="282" t="s">
        <v>211</v>
      </c>
      <c r="C62" s="370" t="s">
        <v>325</v>
      </c>
      <c r="D62" s="279"/>
      <c r="E62" s="390"/>
      <c r="F62" s="390">
        <f>G46</f>
        <v>0.06</v>
      </c>
      <c r="G62" s="394"/>
    </row>
    <row r="63" spans="1:7" ht="12.75">
      <c r="A63" s="381" t="s">
        <v>270</v>
      </c>
      <c r="B63" s="281" t="s">
        <v>209</v>
      </c>
      <c r="C63" s="280" t="s">
        <v>138</v>
      </c>
      <c r="D63" s="280"/>
      <c r="E63" s="392"/>
      <c r="F63" s="411">
        <f>ROUND(F60/F61,2)</f>
        <v>32.13</v>
      </c>
      <c r="G63" s="394"/>
    </row>
    <row r="64" spans="1:7" ht="12.75">
      <c r="A64" s="283" t="s">
        <v>271</v>
      </c>
      <c r="B64" s="281" t="s">
        <v>246</v>
      </c>
      <c r="C64" s="280" t="s">
        <v>138</v>
      </c>
      <c r="D64" s="280"/>
      <c r="E64" s="392"/>
      <c r="F64" s="411">
        <f>+F63*1.15</f>
        <v>36.9495</v>
      </c>
      <c r="G64" s="394"/>
    </row>
    <row r="65" spans="1:7" ht="18" customHeight="1">
      <c r="A65" s="382"/>
      <c r="B65" s="276"/>
      <c r="C65" s="275"/>
      <c r="D65" s="275"/>
      <c r="E65" s="274"/>
      <c r="F65" s="274"/>
      <c r="G65" s="394"/>
    </row>
    <row r="66" spans="1:7" ht="12.75">
      <c r="A66" s="458" t="s">
        <v>328</v>
      </c>
      <c r="B66" s="458"/>
      <c r="C66" s="458"/>
      <c r="D66" s="458"/>
      <c r="E66" s="458"/>
      <c r="F66" s="458"/>
      <c r="G66" s="394"/>
    </row>
    <row r="67" spans="1:7" ht="12.75">
      <c r="A67" s="458" t="s">
        <v>329</v>
      </c>
      <c r="B67" s="458"/>
      <c r="C67" s="458"/>
      <c r="D67" s="458"/>
      <c r="E67" s="458"/>
      <c r="F67" s="458"/>
      <c r="G67" s="394"/>
    </row>
    <row r="68" spans="1:7" ht="12.75">
      <c r="A68" s="458" t="s">
        <v>330</v>
      </c>
      <c r="B68" s="458"/>
      <c r="C68" s="458"/>
      <c r="D68" s="458"/>
      <c r="E68" s="458"/>
      <c r="F68" s="458"/>
      <c r="G68" s="394"/>
    </row>
    <row r="69" spans="1:7" ht="12.75">
      <c r="A69" s="458" t="s">
        <v>331</v>
      </c>
      <c r="B69" s="458"/>
      <c r="C69" s="458"/>
      <c r="D69" s="458"/>
      <c r="E69" s="458"/>
      <c r="F69" s="458"/>
      <c r="G69" s="394"/>
    </row>
    <row r="70" spans="1:7" ht="12.75">
      <c r="A70" s="458" t="s">
        <v>332</v>
      </c>
      <c r="B70" s="458"/>
      <c r="C70" s="458"/>
      <c r="D70" s="458"/>
      <c r="E70" s="458"/>
      <c r="F70" s="458"/>
      <c r="G70" s="394"/>
    </row>
    <row r="71" spans="1:7" ht="12.75">
      <c r="A71" s="458" t="s">
        <v>339</v>
      </c>
      <c r="B71" s="458"/>
      <c r="C71" s="458"/>
      <c r="D71" s="458"/>
      <c r="E71" s="458"/>
      <c r="F71" s="458"/>
      <c r="G71" s="394"/>
    </row>
    <row r="72" spans="1:7" ht="12.75">
      <c r="A72" s="277"/>
      <c r="B72" s="276"/>
      <c r="C72" s="275"/>
      <c r="D72" s="275"/>
      <c r="E72" s="274"/>
      <c r="F72" s="274"/>
      <c r="G72" s="394"/>
    </row>
    <row r="73" spans="1:7" ht="12.75">
      <c r="A73" s="277"/>
      <c r="B73" s="276"/>
      <c r="C73" s="275"/>
      <c r="D73" s="275"/>
      <c r="E73" s="274"/>
      <c r="F73" s="274"/>
      <c r="G73" s="394"/>
    </row>
    <row r="74" spans="1:7" ht="12.75">
      <c r="A74" s="277"/>
      <c r="B74" s="276"/>
      <c r="C74" s="275"/>
      <c r="D74" s="275"/>
      <c r="E74" s="274"/>
      <c r="F74" s="274"/>
      <c r="G74" s="394"/>
    </row>
    <row r="75" spans="2:7" ht="12.75">
      <c r="B75" s="417"/>
      <c r="G75" s="418"/>
    </row>
    <row r="76" ht="12.75">
      <c r="B76" s="417"/>
    </row>
    <row r="78" spans="2:7" ht="12.75">
      <c r="B78" s="419"/>
      <c r="E78" s="419"/>
      <c r="F78" s="419"/>
      <c r="G78" s="419"/>
    </row>
    <row r="79" spans="2:7" ht="12.75">
      <c r="B79" s="419"/>
      <c r="E79" s="419"/>
      <c r="F79" s="419"/>
      <c r="G79" s="419"/>
    </row>
    <row r="80" spans="2:7" ht="12.75">
      <c r="B80" s="419"/>
      <c r="G80" s="419"/>
    </row>
    <row r="81" ht="12.75">
      <c r="G81" s="418"/>
    </row>
  </sheetData>
  <sheetProtection/>
  <mergeCells count="24">
    <mergeCell ref="D53:D54"/>
    <mergeCell ref="B53:B54"/>
    <mergeCell ref="A67:F67"/>
    <mergeCell ref="A66:F66"/>
    <mergeCell ref="A69:F69"/>
    <mergeCell ref="A1:G1"/>
    <mergeCell ref="A10:A13"/>
    <mergeCell ref="D11:E11"/>
    <mergeCell ref="B11:B13"/>
    <mergeCell ref="C11:C13"/>
    <mergeCell ref="C2:G2"/>
    <mergeCell ref="C3:G3"/>
    <mergeCell ref="C8:G8"/>
    <mergeCell ref="B10:G10"/>
    <mergeCell ref="A71:F71"/>
    <mergeCell ref="C4:G4"/>
    <mergeCell ref="C5:G5"/>
    <mergeCell ref="C6:G7"/>
    <mergeCell ref="F11:G11"/>
    <mergeCell ref="A68:F68"/>
    <mergeCell ref="A52:A54"/>
    <mergeCell ref="B52:F52"/>
    <mergeCell ref="A70:F70"/>
    <mergeCell ref="C53:C54"/>
  </mergeCells>
  <printOptions/>
  <pageMargins left="0.8661417322834646" right="0.2362204724409449" top="0.4724409448818898" bottom="0.15748031496062992" header="0.5118110236220472" footer="0.1574803149606299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2">
    <tabColor indexed="42"/>
  </sheetPr>
  <dimension ref="A1:K81"/>
  <sheetViews>
    <sheetView zoomScalePageLayoutView="0" workbookViewId="0" topLeftCell="A43">
      <selection activeCell="G15" sqref="G15"/>
    </sheetView>
  </sheetViews>
  <sheetFormatPr defaultColWidth="9.00390625" defaultRowHeight="12.75"/>
  <cols>
    <col min="1" max="1" width="7.25390625" style="396" customWidth="1"/>
    <col min="2" max="2" width="39.375" style="397" customWidth="1"/>
    <col min="3" max="3" width="7.75390625" style="398" customWidth="1"/>
    <col min="4" max="4" width="10.25390625" style="398" customWidth="1"/>
    <col min="5" max="5" width="11.625" style="399" customWidth="1"/>
    <col min="6" max="6" width="13.00390625" style="399" customWidth="1"/>
    <col min="7" max="7" width="12.875" style="399" customWidth="1"/>
    <col min="8" max="8" width="9.125" style="394" customWidth="1"/>
    <col min="9" max="16384" width="9.125" style="394" customWidth="1"/>
  </cols>
  <sheetData>
    <row r="1" spans="1:7" ht="21.75" customHeight="1">
      <c r="A1" s="471" t="s">
        <v>345</v>
      </c>
      <c r="B1" s="471"/>
      <c r="C1" s="471"/>
      <c r="D1" s="471"/>
      <c r="E1" s="471"/>
      <c r="F1" s="471"/>
      <c r="G1" s="471"/>
    </row>
    <row r="2" spans="1:7" ht="21.75" customHeight="1">
      <c r="A2" s="401"/>
      <c r="B2" s="401"/>
      <c r="C2" s="474"/>
      <c r="D2" s="474"/>
      <c r="E2" s="474"/>
      <c r="F2" s="474"/>
      <c r="G2" s="474"/>
    </row>
    <row r="3" spans="1:7" ht="21.75" customHeight="1">
      <c r="A3" s="402" t="s">
        <v>280</v>
      </c>
      <c r="B3" s="402" t="s">
        <v>333</v>
      </c>
      <c r="C3" s="459" t="s">
        <v>334</v>
      </c>
      <c r="D3" s="459"/>
      <c r="E3" s="459"/>
      <c r="F3" s="459"/>
      <c r="G3" s="459"/>
    </row>
    <row r="4" spans="1:7" ht="21.75" customHeight="1">
      <c r="A4" s="402" t="s">
        <v>281</v>
      </c>
      <c r="B4" s="402" t="s">
        <v>282</v>
      </c>
      <c r="C4" s="459" t="s">
        <v>335</v>
      </c>
      <c r="D4" s="459"/>
      <c r="E4" s="459"/>
      <c r="F4" s="459"/>
      <c r="G4" s="459"/>
    </row>
    <row r="5" spans="1:7" ht="21.75" customHeight="1">
      <c r="A5" s="402" t="s">
        <v>283</v>
      </c>
      <c r="B5" s="402" t="s">
        <v>284</v>
      </c>
      <c r="C5" s="460" t="s">
        <v>336</v>
      </c>
      <c r="D5" s="460"/>
      <c r="E5" s="460"/>
      <c r="F5" s="460"/>
      <c r="G5" s="460"/>
    </row>
    <row r="6" spans="1:7" ht="21.75" customHeight="1">
      <c r="A6" s="402" t="s">
        <v>285</v>
      </c>
      <c r="B6" s="402" t="s">
        <v>286</v>
      </c>
      <c r="C6" s="461" t="s">
        <v>346</v>
      </c>
      <c r="D6" s="462"/>
      <c r="E6" s="462"/>
      <c r="F6" s="462"/>
      <c r="G6" s="463"/>
    </row>
    <row r="7" spans="1:7" ht="21.75" customHeight="1">
      <c r="A7" s="402" t="s">
        <v>11</v>
      </c>
      <c r="B7" s="402" t="s">
        <v>287</v>
      </c>
      <c r="C7" s="464"/>
      <c r="D7" s="465"/>
      <c r="E7" s="465"/>
      <c r="F7" s="465"/>
      <c r="G7" s="466"/>
    </row>
    <row r="8" spans="1:7" ht="46.5" customHeight="1">
      <c r="A8" s="402" t="s">
        <v>288</v>
      </c>
      <c r="B8" s="402" t="s">
        <v>289</v>
      </c>
      <c r="C8" s="475" t="s">
        <v>343</v>
      </c>
      <c r="D8" s="475"/>
      <c r="E8" s="475"/>
      <c r="F8" s="475"/>
      <c r="G8" s="475"/>
    </row>
    <row r="9" spans="1:7" ht="20.25" customHeight="1">
      <c r="A9" s="400"/>
      <c r="B9" s="400"/>
      <c r="C9" s="400"/>
      <c r="D9" s="400"/>
      <c r="E9" s="400"/>
      <c r="F9" s="400"/>
      <c r="G9" s="400"/>
    </row>
    <row r="10" spans="1:7" ht="13.5" customHeight="1">
      <c r="A10" s="467" t="s">
        <v>224</v>
      </c>
      <c r="B10" s="467" t="s">
        <v>225</v>
      </c>
      <c r="C10" s="467"/>
      <c r="D10" s="467"/>
      <c r="E10" s="467"/>
      <c r="F10" s="467"/>
      <c r="G10" s="467"/>
    </row>
    <row r="11" spans="1:7" ht="30" customHeight="1">
      <c r="A11" s="467"/>
      <c r="B11" s="467" t="s">
        <v>293</v>
      </c>
      <c r="C11" s="469" t="s">
        <v>238</v>
      </c>
      <c r="D11" s="467" t="s">
        <v>292</v>
      </c>
      <c r="E11" s="467"/>
      <c r="F11" s="467" t="s">
        <v>147</v>
      </c>
      <c r="G11" s="467"/>
    </row>
    <row r="12" spans="1:7" ht="13.5" customHeight="1">
      <c r="A12" s="467"/>
      <c r="B12" s="467"/>
      <c r="C12" s="473"/>
      <c r="D12" s="403">
        <v>2020</v>
      </c>
      <c r="E12" s="403">
        <v>2021</v>
      </c>
      <c r="F12" s="403">
        <v>2020</v>
      </c>
      <c r="G12" s="403">
        <v>2021</v>
      </c>
    </row>
    <row r="13" spans="1:7" s="404" customFormat="1" ht="21" customHeight="1">
      <c r="A13" s="472"/>
      <c r="B13" s="472"/>
      <c r="C13" s="473"/>
      <c r="D13" s="395" t="s">
        <v>290</v>
      </c>
      <c r="E13" s="377" t="s">
        <v>291</v>
      </c>
      <c r="F13" s="377" t="s">
        <v>290</v>
      </c>
      <c r="G13" s="377" t="s">
        <v>291</v>
      </c>
    </row>
    <row r="14" spans="1:7" s="404" customFormat="1" ht="18.75" customHeight="1">
      <c r="A14" s="387" t="s">
        <v>294</v>
      </c>
      <c r="B14" s="387" t="s">
        <v>295</v>
      </c>
      <c r="C14" s="280" t="s">
        <v>296</v>
      </c>
      <c r="D14" s="280">
        <v>3</v>
      </c>
      <c r="E14" s="378">
        <v>4</v>
      </c>
      <c r="F14" s="378">
        <v>6</v>
      </c>
      <c r="G14" s="378">
        <v>7</v>
      </c>
    </row>
    <row r="15" spans="1:7" ht="12.75">
      <c r="A15" s="379" t="s">
        <v>96</v>
      </c>
      <c r="B15" s="284" t="s">
        <v>97</v>
      </c>
      <c r="C15" s="301" t="s">
        <v>100</v>
      </c>
      <c r="D15" s="405"/>
      <c r="E15" s="391"/>
      <c r="F15" s="391">
        <f>SUM(F16:F19)</f>
        <v>0.05</v>
      </c>
      <c r="G15" s="391">
        <f>SUM(G16:G19)</f>
        <v>0.05</v>
      </c>
    </row>
    <row r="16" spans="1:7" ht="12.75">
      <c r="A16" s="380" t="s">
        <v>98</v>
      </c>
      <c r="B16" s="282" t="s">
        <v>99</v>
      </c>
      <c r="C16" s="279" t="s">
        <v>297</v>
      </c>
      <c r="D16" s="406"/>
      <c r="E16" s="390"/>
      <c r="F16" s="390">
        <v>0</v>
      </c>
      <c r="G16" s="390">
        <v>0</v>
      </c>
    </row>
    <row r="17" spans="1:7" ht="25.5">
      <c r="A17" s="380" t="s">
        <v>101</v>
      </c>
      <c r="B17" s="282" t="s">
        <v>102</v>
      </c>
      <c r="C17" s="279" t="s">
        <v>297</v>
      </c>
      <c r="D17" s="406"/>
      <c r="E17" s="390"/>
      <c r="F17" s="390">
        <v>0</v>
      </c>
      <c r="G17" s="390">
        <v>0</v>
      </c>
    </row>
    <row r="18" spans="1:7" ht="12.75">
      <c r="A18" s="380" t="s">
        <v>103</v>
      </c>
      <c r="B18" s="282" t="s">
        <v>104</v>
      </c>
      <c r="C18" s="279" t="s">
        <v>297</v>
      </c>
      <c r="D18" s="406"/>
      <c r="E18" s="390"/>
      <c r="F18" s="390">
        <v>0</v>
      </c>
      <c r="G18" s="390">
        <v>0</v>
      </c>
    </row>
    <row r="19" spans="1:7" ht="12.75">
      <c r="A19" s="380" t="s">
        <v>105</v>
      </c>
      <c r="B19" s="282" t="s">
        <v>106</v>
      </c>
      <c r="C19" s="279" t="s">
        <v>297</v>
      </c>
      <c r="D19" s="406"/>
      <c r="E19" s="390"/>
      <c r="F19" s="390">
        <v>0.05</v>
      </c>
      <c r="G19" s="390">
        <v>0.05</v>
      </c>
    </row>
    <row r="20" spans="1:7" ht="12.75">
      <c r="A20" s="381" t="s">
        <v>107</v>
      </c>
      <c r="B20" s="281" t="s">
        <v>108</v>
      </c>
      <c r="C20" s="279" t="s">
        <v>297</v>
      </c>
      <c r="D20" s="407"/>
      <c r="E20" s="392"/>
      <c r="F20" s="392">
        <f>SUM(F21:F22)</f>
        <v>0.15</v>
      </c>
      <c r="G20" s="392">
        <f>SUM(G21:G22)</f>
        <v>0.155</v>
      </c>
    </row>
    <row r="21" spans="1:7" ht="12.75">
      <c r="A21" s="380" t="s">
        <v>109</v>
      </c>
      <c r="B21" s="282" t="s">
        <v>110</v>
      </c>
      <c r="C21" s="279" t="s">
        <v>297</v>
      </c>
      <c r="D21" s="408"/>
      <c r="E21" s="390"/>
      <c r="F21" s="390">
        <v>0.15</v>
      </c>
      <c r="G21" s="390">
        <v>0.155</v>
      </c>
    </row>
    <row r="22" spans="1:7" ht="15" customHeight="1">
      <c r="A22" s="380" t="s">
        <v>111</v>
      </c>
      <c r="B22" s="282" t="s">
        <v>223</v>
      </c>
      <c r="C22" s="279" t="s">
        <v>297</v>
      </c>
      <c r="D22" s="406"/>
      <c r="E22" s="390"/>
      <c r="F22" s="390">
        <v>0</v>
      </c>
      <c r="G22" s="390">
        <v>0</v>
      </c>
    </row>
    <row r="23" spans="1:7" ht="12.75">
      <c r="A23" s="381" t="s">
        <v>112</v>
      </c>
      <c r="B23" s="281" t="s">
        <v>113</v>
      </c>
      <c r="C23" s="279" t="s">
        <v>297</v>
      </c>
      <c r="D23" s="407"/>
      <c r="E23" s="392"/>
      <c r="F23" s="392">
        <f>SUM(F24:F25)</f>
        <v>0.08</v>
      </c>
      <c r="G23" s="392">
        <f>SUM(G24:G25)</f>
        <v>0.09</v>
      </c>
    </row>
    <row r="24" spans="1:7" ht="12.75">
      <c r="A24" s="380" t="s">
        <v>114</v>
      </c>
      <c r="B24" s="282" t="s">
        <v>115</v>
      </c>
      <c r="C24" s="279" t="s">
        <v>297</v>
      </c>
      <c r="D24" s="406"/>
      <c r="E24" s="390"/>
      <c r="F24" s="390">
        <v>0.065</v>
      </c>
      <c r="G24" s="390">
        <f>0.05+0.015+0.01</f>
        <v>0.075</v>
      </c>
    </row>
    <row r="25" spans="1:7" ht="12.75">
      <c r="A25" s="380" t="s">
        <v>116</v>
      </c>
      <c r="B25" s="282" t="s">
        <v>117</v>
      </c>
      <c r="C25" s="279" t="s">
        <v>297</v>
      </c>
      <c r="D25" s="406"/>
      <c r="E25" s="390"/>
      <c r="F25" s="390">
        <v>0.015</v>
      </c>
      <c r="G25" s="390">
        <v>0.015</v>
      </c>
    </row>
    <row r="26" spans="1:7" ht="12.75">
      <c r="A26" s="381" t="s">
        <v>118</v>
      </c>
      <c r="B26" s="283" t="s">
        <v>119</v>
      </c>
      <c r="C26" s="279" t="s">
        <v>297</v>
      </c>
      <c r="D26" s="407"/>
      <c r="E26" s="392"/>
      <c r="F26" s="392">
        <f>SUM(F27:F30)</f>
        <v>0.53</v>
      </c>
      <c r="G26" s="392">
        <f>SUM(G27:G30)</f>
        <v>0.55</v>
      </c>
    </row>
    <row r="27" spans="1:7" ht="12.75">
      <c r="A27" s="380" t="s">
        <v>120</v>
      </c>
      <c r="B27" s="282" t="s">
        <v>121</v>
      </c>
      <c r="C27" s="279" t="s">
        <v>297</v>
      </c>
      <c r="D27" s="406"/>
      <c r="E27" s="390"/>
      <c r="F27" s="390">
        <v>0</v>
      </c>
      <c r="G27" s="390">
        <v>0</v>
      </c>
    </row>
    <row r="28" spans="1:7" ht="12.75">
      <c r="A28" s="380" t="s">
        <v>122</v>
      </c>
      <c r="B28" s="282" t="s">
        <v>123</v>
      </c>
      <c r="C28" s="279" t="s">
        <v>297</v>
      </c>
      <c r="D28" s="406"/>
      <c r="E28" s="390"/>
      <c r="F28" s="390">
        <v>0.1</v>
      </c>
      <c r="G28" s="390">
        <v>0.12</v>
      </c>
    </row>
    <row r="29" spans="1:7" s="409" customFormat="1" ht="12.75">
      <c r="A29" s="380" t="s">
        <v>124</v>
      </c>
      <c r="B29" s="282" t="s">
        <v>125</v>
      </c>
      <c r="C29" s="279" t="s">
        <v>297</v>
      </c>
      <c r="D29" s="406"/>
      <c r="E29" s="390"/>
      <c r="F29" s="390">
        <v>0</v>
      </c>
      <c r="G29" s="390">
        <v>0</v>
      </c>
    </row>
    <row r="30" spans="1:7" s="409" customFormat="1" ht="12.75">
      <c r="A30" s="380" t="s">
        <v>126</v>
      </c>
      <c r="B30" s="282" t="s">
        <v>272</v>
      </c>
      <c r="C30" s="279" t="s">
        <v>297</v>
      </c>
      <c r="D30" s="406"/>
      <c r="E30" s="390"/>
      <c r="F30" s="390">
        <v>0.43</v>
      </c>
      <c r="G30" s="390">
        <v>0.43</v>
      </c>
    </row>
    <row r="31" spans="1:7" ht="12.75">
      <c r="A31" s="381" t="s">
        <v>130</v>
      </c>
      <c r="B31" s="283" t="s">
        <v>266</v>
      </c>
      <c r="C31" s="279" t="s">
        <v>297</v>
      </c>
      <c r="D31" s="407"/>
      <c r="E31" s="392"/>
      <c r="F31" s="392">
        <f>SUM(F32:F34)</f>
        <v>0.4</v>
      </c>
      <c r="G31" s="392">
        <f>SUM(G32:G34)</f>
        <v>0.41</v>
      </c>
    </row>
    <row r="32" spans="1:7" ht="12.75">
      <c r="A32" s="380" t="s">
        <v>273</v>
      </c>
      <c r="B32" s="282" t="s">
        <v>127</v>
      </c>
      <c r="C32" s="279" t="s">
        <v>297</v>
      </c>
      <c r="D32" s="406"/>
      <c r="E32" s="390"/>
      <c r="F32" s="390">
        <v>0</v>
      </c>
      <c r="G32" s="390">
        <v>0</v>
      </c>
    </row>
    <row r="33" spans="1:11" ht="12.75">
      <c r="A33" s="380" t="s">
        <v>267</v>
      </c>
      <c r="B33" s="282" t="s">
        <v>128</v>
      </c>
      <c r="C33" s="279" t="s">
        <v>297</v>
      </c>
      <c r="D33" s="406"/>
      <c r="E33" s="390"/>
      <c r="F33" s="390">
        <v>0.4</v>
      </c>
      <c r="G33" s="390">
        <v>0.41</v>
      </c>
      <c r="K33" s="394">
        <v>1</v>
      </c>
    </row>
    <row r="34" spans="1:11" ht="12.75">
      <c r="A34" s="380" t="s">
        <v>268</v>
      </c>
      <c r="B34" s="282" t="s">
        <v>129</v>
      </c>
      <c r="C34" s="279" t="s">
        <v>297</v>
      </c>
      <c r="D34" s="406"/>
      <c r="E34" s="390"/>
      <c r="F34" s="390">
        <v>0</v>
      </c>
      <c r="G34" s="390">
        <v>0</v>
      </c>
      <c r="K34" s="394">
        <v>1</v>
      </c>
    </row>
    <row r="35" spans="1:7" ht="12.75">
      <c r="A35" s="381" t="s">
        <v>132</v>
      </c>
      <c r="B35" s="283" t="s">
        <v>131</v>
      </c>
      <c r="C35" s="279" t="s">
        <v>297</v>
      </c>
      <c r="D35" s="407"/>
      <c r="E35" s="392"/>
      <c r="F35" s="392">
        <v>0</v>
      </c>
      <c r="G35" s="392">
        <v>0</v>
      </c>
    </row>
    <row r="36" spans="1:7" ht="12.75">
      <c r="A36" s="381" t="s">
        <v>134</v>
      </c>
      <c r="B36" s="283" t="s">
        <v>269</v>
      </c>
      <c r="C36" s="279" t="s">
        <v>297</v>
      </c>
      <c r="D36" s="407"/>
      <c r="E36" s="392"/>
      <c r="F36" s="392">
        <v>0</v>
      </c>
      <c r="G36" s="392">
        <v>0</v>
      </c>
    </row>
    <row r="37" spans="1:7" ht="12.75">
      <c r="A37" s="381" t="s">
        <v>136</v>
      </c>
      <c r="B37" s="283" t="s">
        <v>133</v>
      </c>
      <c r="C37" s="279" t="s">
        <v>297</v>
      </c>
      <c r="D37" s="407"/>
      <c r="E37" s="392"/>
      <c r="F37" s="392">
        <v>0.01</v>
      </c>
      <c r="G37" s="392">
        <v>0.0103</v>
      </c>
    </row>
    <row r="38" spans="1:7" ht="12.75">
      <c r="A38" s="381" t="s">
        <v>139</v>
      </c>
      <c r="B38" s="281" t="s">
        <v>135</v>
      </c>
      <c r="C38" s="279" t="s">
        <v>297</v>
      </c>
      <c r="D38" s="407"/>
      <c r="E38" s="392"/>
      <c r="F38" s="392">
        <v>0.01</v>
      </c>
      <c r="G38" s="392">
        <v>0.0103</v>
      </c>
    </row>
    <row r="39" spans="1:7" ht="12.75">
      <c r="A39" s="381" t="s">
        <v>141</v>
      </c>
      <c r="B39" s="281" t="s">
        <v>137</v>
      </c>
      <c r="C39" s="279" t="s">
        <v>297</v>
      </c>
      <c r="D39" s="407"/>
      <c r="E39" s="392"/>
      <c r="F39" s="392">
        <f>SUM(F15,F31,F26,F23,F20,F35:F38)</f>
        <v>1.23</v>
      </c>
      <c r="G39" s="392">
        <f>SUM(G15,G20,G23,G26,G31,G35:G38)</f>
        <v>1.2756</v>
      </c>
    </row>
    <row r="40" spans="1:7" ht="25.5">
      <c r="A40" s="385" t="s">
        <v>229</v>
      </c>
      <c r="B40" s="282" t="s">
        <v>304</v>
      </c>
      <c r="C40" s="279" t="s">
        <v>297</v>
      </c>
      <c r="D40" s="410"/>
      <c r="E40" s="411"/>
      <c r="F40" s="411">
        <v>10.8528</v>
      </c>
      <c r="G40" s="411">
        <v>10.8528</v>
      </c>
    </row>
    <row r="41" spans="1:7" ht="25.5">
      <c r="A41" s="385" t="s">
        <v>228</v>
      </c>
      <c r="B41" s="282" t="s">
        <v>327</v>
      </c>
      <c r="C41" s="279" t="s">
        <v>297</v>
      </c>
      <c r="D41" s="410"/>
      <c r="E41" s="278"/>
      <c r="F41" s="278">
        <v>0</v>
      </c>
      <c r="G41" s="278">
        <v>0</v>
      </c>
    </row>
    <row r="42" spans="1:7" ht="12.75">
      <c r="A42" s="385" t="s">
        <v>227</v>
      </c>
      <c r="B42" s="282" t="s">
        <v>305</v>
      </c>
      <c r="C42" s="279" t="s">
        <v>313</v>
      </c>
      <c r="D42" s="280"/>
      <c r="E42" s="412"/>
      <c r="F42" s="413">
        <v>0.2</v>
      </c>
      <c r="G42" s="413">
        <v>0.2</v>
      </c>
    </row>
    <row r="43" spans="1:7" ht="12.75">
      <c r="A43" s="385" t="s">
        <v>226</v>
      </c>
      <c r="B43" s="282" t="s">
        <v>306</v>
      </c>
      <c r="C43" s="279" t="s">
        <v>314</v>
      </c>
      <c r="D43" s="280"/>
      <c r="E43" s="414"/>
      <c r="F43" s="414">
        <v>0</v>
      </c>
      <c r="G43" s="414">
        <v>0</v>
      </c>
    </row>
    <row r="44" spans="1:7" ht="12.75">
      <c r="A44" s="385" t="s">
        <v>298</v>
      </c>
      <c r="B44" s="282" t="s">
        <v>307</v>
      </c>
      <c r="C44" s="279" t="s">
        <v>314</v>
      </c>
      <c r="D44" s="280"/>
      <c r="E44" s="414"/>
      <c r="F44" s="414">
        <v>0</v>
      </c>
      <c r="G44" s="414">
        <v>0</v>
      </c>
    </row>
    <row r="45" spans="1:7" ht="12.75">
      <c r="A45" s="385" t="s">
        <v>299</v>
      </c>
      <c r="B45" s="282" t="s">
        <v>308</v>
      </c>
      <c r="C45" s="279" t="s">
        <v>314</v>
      </c>
      <c r="D45" s="280"/>
      <c r="E45" s="412"/>
      <c r="F45" s="414">
        <v>0.065</v>
      </c>
      <c r="G45" s="414">
        <v>0.065</v>
      </c>
    </row>
    <row r="46" spans="1:7" ht="12.75">
      <c r="A46" s="385" t="s">
        <v>300</v>
      </c>
      <c r="B46" s="282" t="s">
        <v>338</v>
      </c>
      <c r="C46" s="279" t="s">
        <v>314</v>
      </c>
      <c r="D46" s="280"/>
      <c r="E46" s="412"/>
      <c r="F46" s="414">
        <v>0.06</v>
      </c>
      <c r="G46" s="414">
        <v>0.06</v>
      </c>
    </row>
    <row r="47" spans="1:7" ht="12.75">
      <c r="A47" s="385" t="s">
        <v>301</v>
      </c>
      <c r="B47" s="282" t="s">
        <v>309</v>
      </c>
      <c r="C47" s="279" t="s">
        <v>314</v>
      </c>
      <c r="D47" s="280"/>
      <c r="E47" s="412"/>
      <c r="F47" s="414">
        <v>0</v>
      </c>
      <c r="G47" s="414">
        <v>0</v>
      </c>
    </row>
    <row r="48" spans="1:7" ht="12.75">
      <c r="A48" s="385" t="s">
        <v>280</v>
      </c>
      <c r="B48" s="282" t="s">
        <v>310</v>
      </c>
      <c r="C48" s="279" t="s">
        <v>314</v>
      </c>
      <c r="D48" s="280"/>
      <c r="E48" s="412"/>
      <c r="F48" s="414">
        <v>0.07</v>
      </c>
      <c r="G48" s="414">
        <v>0.075</v>
      </c>
    </row>
    <row r="49" spans="1:7" ht="12.75">
      <c r="A49" s="385" t="s">
        <v>302</v>
      </c>
      <c r="B49" s="282" t="s">
        <v>311</v>
      </c>
      <c r="C49" s="279" t="s">
        <v>314</v>
      </c>
      <c r="D49" s="280"/>
      <c r="E49" s="412"/>
      <c r="F49" s="412">
        <v>0</v>
      </c>
      <c r="G49" s="412">
        <v>0</v>
      </c>
    </row>
    <row r="50" spans="1:7" ht="12.75">
      <c r="A50" s="385" t="s">
        <v>303</v>
      </c>
      <c r="B50" s="282" t="s">
        <v>312</v>
      </c>
      <c r="C50" s="279" t="s">
        <v>314</v>
      </c>
      <c r="D50" s="280"/>
      <c r="E50" s="412"/>
      <c r="F50" s="412">
        <v>0</v>
      </c>
      <c r="G50" s="412">
        <v>0</v>
      </c>
    </row>
    <row r="51" spans="1:7" ht="12.75">
      <c r="A51" s="382"/>
      <c r="B51" s="276"/>
      <c r="C51" s="383"/>
      <c r="D51" s="275"/>
      <c r="E51" s="384"/>
      <c r="F51" s="384"/>
      <c r="G51" s="384"/>
    </row>
    <row r="52" spans="1:7" ht="12.75">
      <c r="A52" s="468" t="s">
        <v>224</v>
      </c>
      <c r="B52" s="468" t="s">
        <v>326</v>
      </c>
      <c r="C52" s="468"/>
      <c r="D52" s="468"/>
      <c r="E52" s="468"/>
      <c r="F52" s="468"/>
      <c r="G52" s="384"/>
    </row>
    <row r="53" spans="1:7" ht="25.5">
      <c r="A53" s="468"/>
      <c r="B53" s="476" t="s">
        <v>318</v>
      </c>
      <c r="C53" s="469" t="s">
        <v>319</v>
      </c>
      <c r="D53" s="469" t="s">
        <v>320</v>
      </c>
      <c r="E53" s="378" t="s">
        <v>323</v>
      </c>
      <c r="F53" s="378" t="s">
        <v>322</v>
      </c>
      <c r="G53" s="384"/>
    </row>
    <row r="54" spans="1:7" ht="12.75">
      <c r="A54" s="468"/>
      <c r="B54" s="477"/>
      <c r="C54" s="470"/>
      <c r="D54" s="470"/>
      <c r="E54" s="378" t="s">
        <v>321</v>
      </c>
      <c r="F54" s="378" t="s">
        <v>321</v>
      </c>
      <c r="G54" s="384"/>
    </row>
    <row r="55" spans="1:7" ht="15.75" customHeight="1">
      <c r="A55" s="387" t="s">
        <v>294</v>
      </c>
      <c r="B55" s="387" t="s">
        <v>295</v>
      </c>
      <c r="C55" s="387" t="s">
        <v>296</v>
      </c>
      <c r="D55" s="387" t="s">
        <v>315</v>
      </c>
      <c r="E55" s="387" t="s">
        <v>316</v>
      </c>
      <c r="F55" s="387" t="s">
        <v>317</v>
      </c>
      <c r="G55" s="386"/>
    </row>
    <row r="56" spans="1:7" ht="32.25" customHeight="1">
      <c r="A56" s="379" t="s">
        <v>142</v>
      </c>
      <c r="B56" s="371" t="s">
        <v>222</v>
      </c>
      <c r="C56" s="301" t="s">
        <v>138</v>
      </c>
      <c r="D56" s="389" t="s">
        <v>324</v>
      </c>
      <c r="E56" s="415"/>
      <c r="F56" s="278">
        <f>+G39/F61</f>
        <v>19.624615384615385</v>
      </c>
      <c r="G56" s="394"/>
    </row>
    <row r="57" spans="1:7" ht="12.75">
      <c r="A57" s="388" t="s">
        <v>145</v>
      </c>
      <c r="B57" s="369" t="s">
        <v>137</v>
      </c>
      <c r="C57" s="370" t="s">
        <v>325</v>
      </c>
      <c r="D57" s="370"/>
      <c r="E57" s="416"/>
      <c r="F57" s="390">
        <f>G39</f>
        <v>1.2756</v>
      </c>
      <c r="G57" s="394"/>
    </row>
    <row r="58" spans="1:7" ht="12.75">
      <c r="A58" s="380" t="s">
        <v>218</v>
      </c>
      <c r="B58" s="282" t="s">
        <v>221</v>
      </c>
      <c r="C58" s="370" t="s">
        <v>325</v>
      </c>
      <c r="D58" s="279"/>
      <c r="E58" s="390"/>
      <c r="F58" s="390">
        <v>0</v>
      </c>
      <c r="G58" s="394"/>
    </row>
    <row r="59" spans="1:7" ht="12.75">
      <c r="A59" s="380" t="s">
        <v>217</v>
      </c>
      <c r="B59" s="282" t="s">
        <v>220</v>
      </c>
      <c r="C59" s="279" t="s">
        <v>140</v>
      </c>
      <c r="D59" s="279"/>
      <c r="E59" s="393"/>
      <c r="F59" s="393">
        <f>+F58/F57*100</f>
        <v>0</v>
      </c>
      <c r="G59" s="394"/>
    </row>
    <row r="60" spans="1:7" ht="12.75">
      <c r="A60" s="381" t="s">
        <v>216</v>
      </c>
      <c r="B60" s="281" t="s">
        <v>219</v>
      </c>
      <c r="C60" s="370" t="s">
        <v>325</v>
      </c>
      <c r="D60" s="280"/>
      <c r="E60" s="392"/>
      <c r="F60" s="392">
        <f>+G39+F58</f>
        <v>1.2756</v>
      </c>
      <c r="G60" s="394"/>
    </row>
    <row r="61" spans="1:7" ht="12.75">
      <c r="A61" s="381" t="s">
        <v>215</v>
      </c>
      <c r="B61" s="281" t="s">
        <v>143</v>
      </c>
      <c r="C61" s="370" t="s">
        <v>325</v>
      </c>
      <c r="D61" s="280"/>
      <c r="E61" s="392"/>
      <c r="F61" s="392">
        <f>G45+G47</f>
        <v>0.065</v>
      </c>
      <c r="G61" s="394"/>
    </row>
    <row r="62" spans="1:7" ht="12.75">
      <c r="A62" s="380" t="s">
        <v>214</v>
      </c>
      <c r="B62" s="282" t="s">
        <v>211</v>
      </c>
      <c r="C62" s="370" t="s">
        <v>325</v>
      </c>
      <c r="D62" s="279"/>
      <c r="E62" s="390"/>
      <c r="F62" s="390">
        <f>G46</f>
        <v>0.06</v>
      </c>
      <c r="G62" s="394"/>
    </row>
    <row r="63" spans="1:7" ht="12.75">
      <c r="A63" s="381" t="s">
        <v>270</v>
      </c>
      <c r="B63" s="281" t="s">
        <v>209</v>
      </c>
      <c r="C63" s="280" t="s">
        <v>138</v>
      </c>
      <c r="D63" s="280"/>
      <c r="E63" s="392"/>
      <c r="F63" s="411">
        <f>ROUND(F60/F61,2)</f>
        <v>19.62</v>
      </c>
      <c r="G63" s="394"/>
    </row>
    <row r="64" spans="1:7" ht="12.75">
      <c r="A64" s="283" t="s">
        <v>271</v>
      </c>
      <c r="B64" s="281" t="s">
        <v>344</v>
      </c>
      <c r="C64" s="280" t="s">
        <v>138</v>
      </c>
      <c r="D64" s="280"/>
      <c r="E64" s="392"/>
      <c r="F64" s="411">
        <f>+F63*1.1</f>
        <v>21.582000000000004</v>
      </c>
      <c r="G64" s="394"/>
    </row>
    <row r="65" spans="1:7" ht="18" customHeight="1">
      <c r="A65" s="382"/>
      <c r="B65" s="276"/>
      <c r="C65" s="275"/>
      <c r="D65" s="275"/>
      <c r="E65" s="274"/>
      <c r="F65" s="274"/>
      <c r="G65" s="394"/>
    </row>
    <row r="66" spans="1:7" ht="12.75">
      <c r="A66" s="458" t="s">
        <v>328</v>
      </c>
      <c r="B66" s="458"/>
      <c r="C66" s="458"/>
      <c r="D66" s="458"/>
      <c r="E66" s="458"/>
      <c r="F66" s="458"/>
      <c r="G66" s="394"/>
    </row>
    <row r="67" spans="1:7" ht="12.75">
      <c r="A67" s="458" t="s">
        <v>329</v>
      </c>
      <c r="B67" s="458"/>
      <c r="C67" s="458"/>
      <c r="D67" s="458"/>
      <c r="E67" s="458"/>
      <c r="F67" s="458"/>
      <c r="G67" s="394"/>
    </row>
    <row r="68" spans="1:7" ht="12.75">
      <c r="A68" s="458" t="s">
        <v>330</v>
      </c>
      <c r="B68" s="458"/>
      <c r="C68" s="458"/>
      <c r="D68" s="458"/>
      <c r="E68" s="458"/>
      <c r="F68" s="458"/>
      <c r="G68" s="394"/>
    </row>
    <row r="69" spans="1:7" ht="12.75">
      <c r="A69" s="458" t="s">
        <v>331</v>
      </c>
      <c r="B69" s="458"/>
      <c r="C69" s="458"/>
      <c r="D69" s="458"/>
      <c r="E69" s="458"/>
      <c r="F69" s="458"/>
      <c r="G69" s="394"/>
    </row>
    <row r="70" spans="1:7" ht="12.75">
      <c r="A70" s="458" t="s">
        <v>332</v>
      </c>
      <c r="B70" s="458"/>
      <c r="C70" s="458"/>
      <c r="D70" s="458"/>
      <c r="E70" s="458"/>
      <c r="F70" s="458"/>
      <c r="G70" s="394"/>
    </row>
    <row r="71" spans="1:7" ht="12.75">
      <c r="A71" s="458" t="s">
        <v>339</v>
      </c>
      <c r="B71" s="458"/>
      <c r="C71" s="458"/>
      <c r="D71" s="458"/>
      <c r="E71" s="458"/>
      <c r="F71" s="458"/>
      <c r="G71" s="394"/>
    </row>
    <row r="72" spans="1:7" ht="12.75">
      <c r="A72" s="277"/>
      <c r="B72" s="276"/>
      <c r="C72" s="275"/>
      <c r="D72" s="275"/>
      <c r="E72" s="274"/>
      <c r="F72" s="274"/>
      <c r="G72" s="394"/>
    </row>
    <row r="73" spans="1:7" ht="12.75">
      <c r="A73" s="277"/>
      <c r="B73" s="276"/>
      <c r="C73" s="275"/>
      <c r="D73" s="275"/>
      <c r="E73" s="274"/>
      <c r="F73" s="274"/>
      <c r="G73" s="394"/>
    </row>
    <row r="74" spans="1:7" ht="12.75">
      <c r="A74" s="277"/>
      <c r="B74" s="276"/>
      <c r="C74" s="275"/>
      <c r="D74" s="275"/>
      <c r="E74" s="274"/>
      <c r="F74" s="274"/>
      <c r="G74" s="394"/>
    </row>
    <row r="75" spans="2:7" ht="12.75">
      <c r="B75" s="417"/>
      <c r="G75" s="418"/>
    </row>
    <row r="76" ht="12.75">
      <c r="B76" s="417"/>
    </row>
    <row r="78" spans="2:7" ht="12.75">
      <c r="B78" s="419"/>
      <c r="E78" s="419"/>
      <c r="F78" s="419"/>
      <c r="G78" s="419"/>
    </row>
    <row r="79" spans="2:7" ht="12.75">
      <c r="B79" s="419"/>
      <c r="E79" s="419"/>
      <c r="F79" s="419"/>
      <c r="G79" s="419"/>
    </row>
    <row r="80" spans="2:7" ht="12.75">
      <c r="B80" s="419"/>
      <c r="G80" s="419"/>
    </row>
    <row r="81" ht="12.75">
      <c r="G81" s="418"/>
    </row>
  </sheetData>
  <sheetProtection/>
  <mergeCells count="24">
    <mergeCell ref="A1:G1"/>
    <mergeCell ref="C2:G2"/>
    <mergeCell ref="C3:G3"/>
    <mergeCell ref="C4:G4"/>
    <mergeCell ref="C5:G5"/>
    <mergeCell ref="C6:G7"/>
    <mergeCell ref="A66:F66"/>
    <mergeCell ref="C8:G8"/>
    <mergeCell ref="A10:A13"/>
    <mergeCell ref="B10:G10"/>
    <mergeCell ref="B11:B13"/>
    <mergeCell ref="C11:C13"/>
    <mergeCell ref="D11:E11"/>
    <mergeCell ref="F11:G11"/>
    <mergeCell ref="A67:F67"/>
    <mergeCell ref="A68:F68"/>
    <mergeCell ref="A69:F69"/>
    <mergeCell ref="A70:F70"/>
    <mergeCell ref="A71:F71"/>
    <mergeCell ref="A52:A54"/>
    <mergeCell ref="B52:F52"/>
    <mergeCell ref="B53:B54"/>
    <mergeCell ref="C53:C54"/>
    <mergeCell ref="D53:D54"/>
  </mergeCells>
  <printOptions/>
  <pageMargins left="0.8661417322834646" right="0.2362204724409449" top="0.4724409448818898" bottom="0.15748031496062992" header="0.5118110236220472" footer="0.1574803149606299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3">
    <tabColor indexed="42"/>
  </sheetPr>
  <dimension ref="A1:K81"/>
  <sheetViews>
    <sheetView tabSelected="1" zoomScalePageLayoutView="0" workbookViewId="0" topLeftCell="A43">
      <selection activeCell="C8" sqref="C8:G8"/>
    </sheetView>
  </sheetViews>
  <sheetFormatPr defaultColWidth="9.00390625" defaultRowHeight="12.75"/>
  <cols>
    <col min="1" max="1" width="7.25390625" style="396" customWidth="1"/>
    <col min="2" max="2" width="39.375" style="397" customWidth="1"/>
    <col min="3" max="3" width="7.75390625" style="398" customWidth="1"/>
    <col min="4" max="4" width="10.25390625" style="398" customWidth="1"/>
    <col min="5" max="5" width="11.625" style="399" customWidth="1"/>
    <col min="6" max="6" width="13.00390625" style="399" customWidth="1"/>
    <col min="7" max="7" width="12.875" style="399" customWidth="1"/>
    <col min="8" max="8" width="9.125" style="394" customWidth="1"/>
    <col min="9" max="16384" width="9.125" style="394" customWidth="1"/>
  </cols>
  <sheetData>
    <row r="1" spans="1:7" ht="21.75" customHeight="1">
      <c r="A1" s="471" t="s">
        <v>345</v>
      </c>
      <c r="B1" s="471"/>
      <c r="C1" s="471"/>
      <c r="D1" s="471"/>
      <c r="E1" s="471"/>
      <c r="F1" s="471"/>
      <c r="G1" s="471"/>
    </row>
    <row r="2" spans="1:7" ht="21.75" customHeight="1">
      <c r="A2" s="401"/>
      <c r="B2" s="401"/>
      <c r="C2" s="474"/>
      <c r="D2" s="474"/>
      <c r="E2" s="474"/>
      <c r="F2" s="474"/>
      <c r="G2" s="474"/>
    </row>
    <row r="3" spans="1:7" ht="21.75" customHeight="1">
      <c r="A3" s="402" t="s">
        <v>280</v>
      </c>
      <c r="B3" s="402" t="s">
        <v>333</v>
      </c>
      <c r="C3" s="459" t="s">
        <v>334</v>
      </c>
      <c r="D3" s="459"/>
      <c r="E3" s="459"/>
      <c r="F3" s="459"/>
      <c r="G3" s="459"/>
    </row>
    <row r="4" spans="1:7" ht="21.75" customHeight="1">
      <c r="A4" s="402" t="s">
        <v>281</v>
      </c>
      <c r="B4" s="402" t="s">
        <v>282</v>
      </c>
      <c r="C4" s="459" t="s">
        <v>335</v>
      </c>
      <c r="D4" s="459"/>
      <c r="E4" s="459"/>
      <c r="F4" s="459"/>
      <c r="G4" s="459"/>
    </row>
    <row r="5" spans="1:7" ht="21.75" customHeight="1">
      <c r="A5" s="402" t="s">
        <v>283</v>
      </c>
      <c r="B5" s="402" t="s">
        <v>284</v>
      </c>
      <c r="C5" s="460" t="s">
        <v>336</v>
      </c>
      <c r="D5" s="460"/>
      <c r="E5" s="460"/>
      <c r="F5" s="460"/>
      <c r="G5" s="460"/>
    </row>
    <row r="6" spans="1:7" ht="21.75" customHeight="1">
      <c r="A6" s="402" t="s">
        <v>285</v>
      </c>
      <c r="B6" s="402" t="s">
        <v>286</v>
      </c>
      <c r="C6" s="461" t="s">
        <v>346</v>
      </c>
      <c r="D6" s="462"/>
      <c r="E6" s="462"/>
      <c r="F6" s="462"/>
      <c r="G6" s="463"/>
    </row>
    <row r="7" spans="1:7" ht="21.75" customHeight="1">
      <c r="A7" s="402" t="s">
        <v>11</v>
      </c>
      <c r="B7" s="402" t="s">
        <v>287</v>
      </c>
      <c r="C7" s="464"/>
      <c r="D7" s="465"/>
      <c r="E7" s="465"/>
      <c r="F7" s="465"/>
      <c r="G7" s="466"/>
    </row>
    <row r="8" spans="1:7" ht="46.5" customHeight="1">
      <c r="A8" s="402" t="s">
        <v>288</v>
      </c>
      <c r="B8" s="402" t="s">
        <v>289</v>
      </c>
      <c r="C8" s="475" t="s">
        <v>342</v>
      </c>
      <c r="D8" s="475"/>
      <c r="E8" s="475"/>
      <c r="F8" s="475"/>
      <c r="G8" s="475"/>
    </row>
    <row r="9" spans="1:7" ht="20.25" customHeight="1">
      <c r="A9" s="400"/>
      <c r="B9" s="400"/>
      <c r="C9" s="400"/>
      <c r="D9" s="400"/>
      <c r="E9" s="400"/>
      <c r="F9" s="400"/>
      <c r="G9" s="400"/>
    </row>
    <row r="10" spans="1:7" ht="13.5" customHeight="1">
      <c r="A10" s="467" t="s">
        <v>224</v>
      </c>
      <c r="B10" s="467" t="s">
        <v>225</v>
      </c>
      <c r="C10" s="467"/>
      <c r="D10" s="467"/>
      <c r="E10" s="467"/>
      <c r="F10" s="467"/>
      <c r="G10" s="467"/>
    </row>
    <row r="11" spans="1:7" ht="30" customHeight="1">
      <c r="A11" s="467"/>
      <c r="B11" s="467" t="s">
        <v>293</v>
      </c>
      <c r="C11" s="469" t="s">
        <v>238</v>
      </c>
      <c r="D11" s="467" t="s">
        <v>292</v>
      </c>
      <c r="E11" s="467"/>
      <c r="F11" s="467" t="s">
        <v>147</v>
      </c>
      <c r="G11" s="467"/>
    </row>
    <row r="12" spans="1:7" ht="13.5" customHeight="1">
      <c r="A12" s="467"/>
      <c r="B12" s="467"/>
      <c r="C12" s="473"/>
      <c r="D12" s="403">
        <v>2020</v>
      </c>
      <c r="E12" s="403">
        <v>2021</v>
      </c>
      <c r="F12" s="403">
        <v>2020</v>
      </c>
      <c r="G12" s="403">
        <v>2021</v>
      </c>
    </row>
    <row r="13" spans="1:7" s="404" customFormat="1" ht="21" customHeight="1">
      <c r="A13" s="472"/>
      <c r="B13" s="472"/>
      <c r="C13" s="473"/>
      <c r="D13" s="395" t="s">
        <v>290</v>
      </c>
      <c r="E13" s="377" t="s">
        <v>291</v>
      </c>
      <c r="F13" s="377" t="s">
        <v>290</v>
      </c>
      <c r="G13" s="377" t="s">
        <v>291</v>
      </c>
    </row>
    <row r="14" spans="1:7" s="404" customFormat="1" ht="18.75" customHeight="1">
      <c r="A14" s="387" t="s">
        <v>294</v>
      </c>
      <c r="B14" s="387" t="s">
        <v>295</v>
      </c>
      <c r="C14" s="280" t="s">
        <v>296</v>
      </c>
      <c r="D14" s="280">
        <v>3</v>
      </c>
      <c r="E14" s="378">
        <v>4</v>
      </c>
      <c r="F14" s="378">
        <v>6</v>
      </c>
      <c r="G14" s="378">
        <v>7</v>
      </c>
    </row>
    <row r="15" spans="1:7" ht="12.75">
      <c r="A15" s="379" t="s">
        <v>96</v>
      </c>
      <c r="B15" s="284" t="s">
        <v>97</v>
      </c>
      <c r="C15" s="301" t="s">
        <v>100</v>
      </c>
      <c r="D15" s="405"/>
      <c r="E15" s="391"/>
      <c r="F15" s="391">
        <f>SUM(F16:F19)</f>
        <v>0</v>
      </c>
      <c r="G15" s="391">
        <f>SUM(G16:G19)</f>
        <v>0</v>
      </c>
    </row>
    <row r="16" spans="1:7" ht="12.75">
      <c r="A16" s="380" t="s">
        <v>98</v>
      </c>
      <c r="B16" s="282" t="s">
        <v>99</v>
      </c>
      <c r="C16" s="279" t="s">
        <v>297</v>
      </c>
      <c r="D16" s="406"/>
      <c r="E16" s="390"/>
      <c r="F16" s="390">
        <v>0</v>
      </c>
      <c r="G16" s="390">
        <v>0</v>
      </c>
    </row>
    <row r="17" spans="1:7" ht="25.5">
      <c r="A17" s="380" t="s">
        <v>101</v>
      </c>
      <c r="B17" s="282" t="s">
        <v>102</v>
      </c>
      <c r="C17" s="279" t="s">
        <v>297</v>
      </c>
      <c r="D17" s="406"/>
      <c r="E17" s="390"/>
      <c r="F17" s="390">
        <v>0</v>
      </c>
      <c r="G17" s="390">
        <v>0</v>
      </c>
    </row>
    <row r="18" spans="1:7" ht="12.75">
      <c r="A18" s="380" t="s">
        <v>103</v>
      </c>
      <c r="B18" s="282" t="s">
        <v>104</v>
      </c>
      <c r="C18" s="279" t="s">
        <v>297</v>
      </c>
      <c r="D18" s="406"/>
      <c r="E18" s="390"/>
      <c r="F18" s="390">
        <v>0</v>
      </c>
      <c r="G18" s="390">
        <v>0</v>
      </c>
    </row>
    <row r="19" spans="1:7" ht="12.75">
      <c r="A19" s="380" t="s">
        <v>105</v>
      </c>
      <c r="B19" s="282" t="s">
        <v>106</v>
      </c>
      <c r="C19" s="279" t="s">
        <v>297</v>
      </c>
      <c r="D19" s="406"/>
      <c r="E19" s="390"/>
      <c r="F19" s="390">
        <v>0</v>
      </c>
      <c r="G19" s="390">
        <v>0</v>
      </c>
    </row>
    <row r="20" spans="1:7" ht="12.75">
      <c r="A20" s="381" t="s">
        <v>107</v>
      </c>
      <c r="B20" s="281" t="s">
        <v>108</v>
      </c>
      <c r="C20" s="279" t="s">
        <v>297</v>
      </c>
      <c r="D20" s="407"/>
      <c r="E20" s="392"/>
      <c r="F20" s="392">
        <f>SUM(F21:F22)</f>
        <v>0</v>
      </c>
      <c r="G20" s="392">
        <f>SUM(G21:G22)</f>
        <v>0</v>
      </c>
    </row>
    <row r="21" spans="1:7" ht="12.75">
      <c r="A21" s="380" t="s">
        <v>109</v>
      </c>
      <c r="B21" s="282" t="s">
        <v>110</v>
      </c>
      <c r="C21" s="279" t="s">
        <v>297</v>
      </c>
      <c r="D21" s="408"/>
      <c r="E21" s="390"/>
      <c r="F21" s="390">
        <v>0</v>
      </c>
      <c r="G21" s="390">
        <v>0</v>
      </c>
    </row>
    <row r="22" spans="1:7" ht="15" customHeight="1">
      <c r="A22" s="380" t="s">
        <v>111</v>
      </c>
      <c r="B22" s="282" t="s">
        <v>223</v>
      </c>
      <c r="C22" s="279" t="s">
        <v>297</v>
      </c>
      <c r="D22" s="406"/>
      <c r="E22" s="390"/>
      <c r="F22" s="390">
        <v>0</v>
      </c>
      <c r="G22" s="390">
        <v>0</v>
      </c>
    </row>
    <row r="23" spans="1:7" ht="12.75">
      <c r="A23" s="381" t="s">
        <v>112</v>
      </c>
      <c r="B23" s="281" t="s">
        <v>113</v>
      </c>
      <c r="C23" s="279" t="s">
        <v>297</v>
      </c>
      <c r="D23" s="407"/>
      <c r="E23" s="392"/>
      <c r="F23" s="392">
        <f>SUM(F24:F25)</f>
        <v>0</v>
      </c>
      <c r="G23" s="392">
        <f>SUM(G24:G25)</f>
        <v>0</v>
      </c>
    </row>
    <row r="24" spans="1:7" ht="12.75">
      <c r="A24" s="380" t="s">
        <v>114</v>
      </c>
      <c r="B24" s="282" t="s">
        <v>115</v>
      </c>
      <c r="C24" s="279" t="s">
        <v>297</v>
      </c>
      <c r="D24" s="406"/>
      <c r="E24" s="390"/>
      <c r="F24" s="390">
        <v>0</v>
      </c>
      <c r="G24" s="390">
        <v>0</v>
      </c>
    </row>
    <row r="25" spans="1:7" ht="12.75">
      <c r="A25" s="380" t="s">
        <v>116</v>
      </c>
      <c r="B25" s="282" t="s">
        <v>117</v>
      </c>
      <c r="C25" s="279" t="s">
        <v>297</v>
      </c>
      <c r="D25" s="406"/>
      <c r="E25" s="390"/>
      <c r="F25" s="390">
        <v>0</v>
      </c>
      <c r="G25" s="390">
        <v>0</v>
      </c>
    </row>
    <row r="26" spans="1:7" ht="12.75">
      <c r="A26" s="381" t="s">
        <v>118</v>
      </c>
      <c r="B26" s="283" t="s">
        <v>119</v>
      </c>
      <c r="C26" s="279" t="s">
        <v>297</v>
      </c>
      <c r="D26" s="407"/>
      <c r="E26" s="392"/>
      <c r="F26" s="392">
        <f>SUM(F27:F30)</f>
        <v>1.2449999999999999</v>
      </c>
      <c r="G26" s="392">
        <f>SUM(G27:G30)</f>
        <v>1.265</v>
      </c>
    </row>
    <row r="27" spans="1:7" ht="12.75">
      <c r="A27" s="380" t="s">
        <v>120</v>
      </c>
      <c r="B27" s="282" t="s">
        <v>121</v>
      </c>
      <c r="C27" s="279" t="s">
        <v>297</v>
      </c>
      <c r="D27" s="406"/>
      <c r="E27" s="390"/>
      <c r="F27" s="390">
        <v>0</v>
      </c>
      <c r="G27" s="390">
        <v>0</v>
      </c>
    </row>
    <row r="28" spans="1:7" ht="12.75">
      <c r="A28" s="380" t="s">
        <v>122</v>
      </c>
      <c r="B28" s="282" t="s">
        <v>123</v>
      </c>
      <c r="C28" s="279" t="s">
        <v>297</v>
      </c>
      <c r="D28" s="406"/>
      <c r="E28" s="390"/>
      <c r="F28" s="390">
        <v>0.085</v>
      </c>
      <c r="G28" s="390">
        <v>0.105</v>
      </c>
    </row>
    <row r="29" spans="1:7" s="409" customFormat="1" ht="12.75">
      <c r="A29" s="380" t="s">
        <v>124</v>
      </c>
      <c r="B29" s="282" t="s">
        <v>125</v>
      </c>
      <c r="C29" s="279" t="s">
        <v>297</v>
      </c>
      <c r="D29" s="406"/>
      <c r="E29" s="390"/>
      <c r="F29" s="390">
        <v>0</v>
      </c>
      <c r="G29" s="390">
        <v>0</v>
      </c>
    </row>
    <row r="30" spans="1:7" s="409" customFormat="1" ht="12.75">
      <c r="A30" s="380" t="s">
        <v>126</v>
      </c>
      <c r="B30" s="282" t="s">
        <v>272</v>
      </c>
      <c r="C30" s="279" t="s">
        <v>297</v>
      </c>
      <c r="D30" s="406"/>
      <c r="E30" s="390"/>
      <c r="F30" s="390">
        <v>1.16</v>
      </c>
      <c r="G30" s="390">
        <v>1.16</v>
      </c>
    </row>
    <row r="31" spans="1:7" ht="12.75">
      <c r="A31" s="381" t="s">
        <v>130</v>
      </c>
      <c r="B31" s="283" t="s">
        <v>266</v>
      </c>
      <c r="C31" s="279" t="s">
        <v>297</v>
      </c>
      <c r="D31" s="407"/>
      <c r="E31" s="392"/>
      <c r="F31" s="392">
        <f>SUM(F32:F34)</f>
        <v>0</v>
      </c>
      <c r="G31" s="392">
        <f>SUM(G32:G34)</f>
        <v>0</v>
      </c>
    </row>
    <row r="32" spans="1:7" ht="12.75">
      <c r="A32" s="380" t="s">
        <v>273</v>
      </c>
      <c r="B32" s="282" t="s">
        <v>127</v>
      </c>
      <c r="C32" s="279" t="s">
        <v>297</v>
      </c>
      <c r="D32" s="406"/>
      <c r="E32" s="390"/>
      <c r="F32" s="390">
        <v>0</v>
      </c>
      <c r="G32" s="390">
        <v>0</v>
      </c>
    </row>
    <row r="33" spans="1:11" ht="12.75">
      <c r="A33" s="380" t="s">
        <v>267</v>
      </c>
      <c r="B33" s="282" t="s">
        <v>128</v>
      </c>
      <c r="C33" s="279" t="s">
        <v>297</v>
      </c>
      <c r="D33" s="406"/>
      <c r="E33" s="390"/>
      <c r="F33" s="390">
        <v>0</v>
      </c>
      <c r="G33" s="390">
        <v>0</v>
      </c>
      <c r="K33" s="394">
        <v>1</v>
      </c>
    </row>
    <row r="34" spans="1:11" ht="12.75">
      <c r="A34" s="380" t="s">
        <v>268</v>
      </c>
      <c r="B34" s="282" t="s">
        <v>129</v>
      </c>
      <c r="C34" s="279" t="s">
        <v>297</v>
      </c>
      <c r="D34" s="406"/>
      <c r="E34" s="390"/>
      <c r="F34" s="390">
        <v>0</v>
      </c>
      <c r="G34" s="390">
        <v>0</v>
      </c>
      <c r="K34" s="394">
        <v>1</v>
      </c>
    </row>
    <row r="35" spans="1:7" ht="12.75">
      <c r="A35" s="381" t="s">
        <v>132</v>
      </c>
      <c r="B35" s="283" t="s">
        <v>131</v>
      </c>
      <c r="C35" s="279" t="s">
        <v>297</v>
      </c>
      <c r="D35" s="407"/>
      <c r="E35" s="392"/>
      <c r="F35" s="392">
        <v>0</v>
      </c>
      <c r="G35" s="392">
        <v>0</v>
      </c>
    </row>
    <row r="36" spans="1:7" ht="12.75">
      <c r="A36" s="381" t="s">
        <v>134</v>
      </c>
      <c r="B36" s="283" t="s">
        <v>269</v>
      </c>
      <c r="C36" s="279" t="s">
        <v>297</v>
      </c>
      <c r="D36" s="407"/>
      <c r="E36" s="392"/>
      <c r="F36" s="392">
        <v>0</v>
      </c>
      <c r="G36" s="392">
        <v>0</v>
      </c>
    </row>
    <row r="37" spans="1:7" ht="12.75">
      <c r="A37" s="381" t="s">
        <v>136</v>
      </c>
      <c r="B37" s="283" t="s">
        <v>133</v>
      </c>
      <c r="C37" s="279" t="s">
        <v>297</v>
      </c>
      <c r="D37" s="407"/>
      <c r="E37" s="392"/>
      <c r="F37" s="392">
        <v>0.01</v>
      </c>
      <c r="G37" s="392">
        <v>0.0103</v>
      </c>
    </row>
    <row r="38" spans="1:7" ht="12.75">
      <c r="A38" s="381" t="s">
        <v>139</v>
      </c>
      <c r="B38" s="281" t="s">
        <v>135</v>
      </c>
      <c r="C38" s="279" t="s">
        <v>297</v>
      </c>
      <c r="D38" s="407"/>
      <c r="E38" s="392"/>
      <c r="F38" s="392">
        <v>0.01</v>
      </c>
      <c r="G38" s="392">
        <v>0.0103</v>
      </c>
    </row>
    <row r="39" spans="1:7" ht="12.75">
      <c r="A39" s="381" t="s">
        <v>141</v>
      </c>
      <c r="B39" s="281" t="s">
        <v>137</v>
      </c>
      <c r="C39" s="279" t="s">
        <v>297</v>
      </c>
      <c r="D39" s="407"/>
      <c r="E39" s="392"/>
      <c r="F39" s="392">
        <f>SUM(F15,F31,F26,F23,F20,F35:F38)</f>
        <v>1.265</v>
      </c>
      <c r="G39" s="392">
        <f>SUM(G15,G20,G23,G26,G31,G35:G38)</f>
        <v>1.2855999999999999</v>
      </c>
    </row>
    <row r="40" spans="1:7" ht="25.5">
      <c r="A40" s="385" t="s">
        <v>229</v>
      </c>
      <c r="B40" s="282" t="s">
        <v>304</v>
      </c>
      <c r="C40" s="279" t="s">
        <v>297</v>
      </c>
      <c r="D40" s="410"/>
      <c r="E40" s="411"/>
      <c r="F40" s="411">
        <v>60.409655</v>
      </c>
      <c r="G40" s="411">
        <v>60.409655</v>
      </c>
    </row>
    <row r="41" spans="1:7" ht="25.5">
      <c r="A41" s="385" t="s">
        <v>228</v>
      </c>
      <c r="B41" s="282" t="s">
        <v>327</v>
      </c>
      <c r="C41" s="279" t="s">
        <v>297</v>
      </c>
      <c r="D41" s="410"/>
      <c r="E41" s="278"/>
      <c r="F41" s="278">
        <v>0</v>
      </c>
      <c r="G41" s="278">
        <v>0</v>
      </c>
    </row>
    <row r="42" spans="1:7" ht="12.75">
      <c r="A42" s="385" t="s">
        <v>227</v>
      </c>
      <c r="B42" s="282" t="s">
        <v>305</v>
      </c>
      <c r="C42" s="279" t="s">
        <v>313</v>
      </c>
      <c r="D42" s="280"/>
      <c r="E42" s="412"/>
      <c r="F42" s="413">
        <v>0.2</v>
      </c>
      <c r="G42" s="413">
        <v>0.2</v>
      </c>
    </row>
    <row r="43" spans="1:7" ht="12.75">
      <c r="A43" s="385" t="s">
        <v>226</v>
      </c>
      <c r="B43" s="282" t="s">
        <v>306</v>
      </c>
      <c r="C43" s="279" t="s">
        <v>314</v>
      </c>
      <c r="D43" s="280"/>
      <c r="E43" s="414"/>
      <c r="F43" s="414">
        <v>0</v>
      </c>
      <c r="G43" s="414">
        <v>0</v>
      </c>
    </row>
    <row r="44" spans="1:7" ht="12.75">
      <c r="A44" s="385" t="s">
        <v>298</v>
      </c>
      <c r="B44" s="282" t="s">
        <v>307</v>
      </c>
      <c r="C44" s="279" t="s">
        <v>314</v>
      </c>
      <c r="D44" s="280"/>
      <c r="E44" s="414"/>
      <c r="F44" s="414">
        <v>0</v>
      </c>
      <c r="G44" s="414">
        <v>0</v>
      </c>
    </row>
    <row r="45" spans="1:7" ht="12.75">
      <c r="A45" s="385" t="s">
        <v>299</v>
      </c>
      <c r="B45" s="282" t="s">
        <v>308</v>
      </c>
      <c r="C45" s="279" t="s">
        <v>314</v>
      </c>
      <c r="D45" s="280"/>
      <c r="E45" s="412"/>
      <c r="F45" s="414">
        <v>0.07</v>
      </c>
      <c r="G45" s="414">
        <v>0.07</v>
      </c>
    </row>
    <row r="46" spans="1:7" ht="12.75">
      <c r="A46" s="385" t="s">
        <v>300</v>
      </c>
      <c r="B46" s="282" t="s">
        <v>338</v>
      </c>
      <c r="C46" s="279" t="s">
        <v>314</v>
      </c>
      <c r="D46" s="280"/>
      <c r="E46" s="412"/>
      <c r="F46" s="414">
        <v>0.065</v>
      </c>
      <c r="G46" s="414">
        <v>0.065</v>
      </c>
    </row>
    <row r="47" spans="1:7" ht="12.75">
      <c r="A47" s="385" t="s">
        <v>301</v>
      </c>
      <c r="B47" s="282" t="s">
        <v>309</v>
      </c>
      <c r="C47" s="279" t="s">
        <v>314</v>
      </c>
      <c r="D47" s="280"/>
      <c r="E47" s="412"/>
      <c r="F47" s="414">
        <v>0</v>
      </c>
      <c r="G47" s="414">
        <v>0</v>
      </c>
    </row>
    <row r="48" spans="1:7" ht="12.75">
      <c r="A48" s="385" t="s">
        <v>280</v>
      </c>
      <c r="B48" s="282" t="s">
        <v>310</v>
      </c>
      <c r="C48" s="279" t="s">
        <v>314</v>
      </c>
      <c r="D48" s="280"/>
      <c r="E48" s="412"/>
      <c r="F48" s="414">
        <v>0</v>
      </c>
      <c r="G48" s="414">
        <v>0</v>
      </c>
    </row>
    <row r="49" spans="1:7" ht="12.75">
      <c r="A49" s="385" t="s">
        <v>302</v>
      </c>
      <c r="B49" s="282" t="s">
        <v>311</v>
      </c>
      <c r="C49" s="279" t="s">
        <v>314</v>
      </c>
      <c r="D49" s="280"/>
      <c r="E49" s="412"/>
      <c r="F49" s="412">
        <v>0</v>
      </c>
      <c r="G49" s="412">
        <v>0</v>
      </c>
    </row>
    <row r="50" spans="1:7" ht="12.75">
      <c r="A50" s="385" t="s">
        <v>303</v>
      </c>
      <c r="B50" s="282" t="s">
        <v>312</v>
      </c>
      <c r="C50" s="279" t="s">
        <v>314</v>
      </c>
      <c r="D50" s="280"/>
      <c r="E50" s="412"/>
      <c r="F50" s="412">
        <v>0</v>
      </c>
      <c r="G50" s="412">
        <v>0</v>
      </c>
    </row>
    <row r="51" spans="1:7" ht="12.75">
      <c r="A51" s="382"/>
      <c r="B51" s="276"/>
      <c r="C51" s="383"/>
      <c r="D51" s="275"/>
      <c r="E51" s="384"/>
      <c r="F51" s="384"/>
      <c r="G51" s="384"/>
    </row>
    <row r="52" spans="1:7" ht="12.75">
      <c r="A52" s="468" t="s">
        <v>224</v>
      </c>
      <c r="B52" s="468" t="s">
        <v>326</v>
      </c>
      <c r="C52" s="468"/>
      <c r="D52" s="468"/>
      <c r="E52" s="468"/>
      <c r="F52" s="468"/>
      <c r="G52" s="384"/>
    </row>
    <row r="53" spans="1:7" ht="25.5">
      <c r="A53" s="468"/>
      <c r="B53" s="476" t="s">
        <v>318</v>
      </c>
      <c r="C53" s="469" t="s">
        <v>319</v>
      </c>
      <c r="D53" s="469" t="s">
        <v>320</v>
      </c>
      <c r="E53" s="378" t="s">
        <v>323</v>
      </c>
      <c r="F53" s="378" t="s">
        <v>322</v>
      </c>
      <c r="G53" s="384"/>
    </row>
    <row r="54" spans="1:7" ht="12.75">
      <c r="A54" s="468"/>
      <c r="B54" s="477"/>
      <c r="C54" s="470"/>
      <c r="D54" s="470"/>
      <c r="E54" s="378" t="s">
        <v>321</v>
      </c>
      <c r="F54" s="378" t="s">
        <v>321</v>
      </c>
      <c r="G54" s="384"/>
    </row>
    <row r="55" spans="1:7" ht="15.75" customHeight="1">
      <c r="A55" s="387" t="s">
        <v>294</v>
      </c>
      <c r="B55" s="387" t="s">
        <v>295</v>
      </c>
      <c r="C55" s="387" t="s">
        <v>296</v>
      </c>
      <c r="D55" s="387" t="s">
        <v>315</v>
      </c>
      <c r="E55" s="387" t="s">
        <v>316</v>
      </c>
      <c r="F55" s="387" t="s">
        <v>317</v>
      </c>
      <c r="G55" s="386"/>
    </row>
    <row r="56" spans="1:7" ht="32.25" customHeight="1">
      <c r="A56" s="379" t="s">
        <v>142</v>
      </c>
      <c r="B56" s="371" t="s">
        <v>222</v>
      </c>
      <c r="C56" s="301" t="s">
        <v>138</v>
      </c>
      <c r="D56" s="389" t="s">
        <v>324</v>
      </c>
      <c r="E56" s="415"/>
      <c r="F56" s="278">
        <f>+G39/F61</f>
        <v>18.365714285714283</v>
      </c>
      <c r="G56" s="394"/>
    </row>
    <row r="57" spans="1:7" ht="12.75">
      <c r="A57" s="388" t="s">
        <v>145</v>
      </c>
      <c r="B57" s="369" t="s">
        <v>137</v>
      </c>
      <c r="C57" s="370" t="s">
        <v>325</v>
      </c>
      <c r="D57" s="370"/>
      <c r="E57" s="416"/>
      <c r="F57" s="390">
        <f>G39</f>
        <v>1.2855999999999999</v>
      </c>
      <c r="G57" s="394"/>
    </row>
    <row r="58" spans="1:7" ht="12.75">
      <c r="A58" s="380" t="s">
        <v>218</v>
      </c>
      <c r="B58" s="282" t="s">
        <v>221</v>
      </c>
      <c r="C58" s="370" t="s">
        <v>325</v>
      </c>
      <c r="D58" s="279"/>
      <c r="E58" s="390"/>
      <c r="F58" s="390">
        <v>0</v>
      </c>
      <c r="G58" s="394"/>
    </row>
    <row r="59" spans="1:7" ht="12.75">
      <c r="A59" s="380" t="s">
        <v>217</v>
      </c>
      <c r="B59" s="282" t="s">
        <v>220</v>
      </c>
      <c r="C59" s="279" t="s">
        <v>140</v>
      </c>
      <c r="D59" s="279"/>
      <c r="E59" s="393"/>
      <c r="F59" s="393">
        <f>+F58/F57*100</f>
        <v>0</v>
      </c>
      <c r="G59" s="394"/>
    </row>
    <row r="60" spans="1:7" ht="12.75">
      <c r="A60" s="381" t="s">
        <v>216</v>
      </c>
      <c r="B60" s="281" t="s">
        <v>219</v>
      </c>
      <c r="C60" s="370" t="s">
        <v>325</v>
      </c>
      <c r="D60" s="280"/>
      <c r="E60" s="392"/>
      <c r="F60" s="392">
        <f>+G39+F58</f>
        <v>1.2855999999999999</v>
      </c>
      <c r="G60" s="394"/>
    </row>
    <row r="61" spans="1:7" ht="12.75">
      <c r="A61" s="381" t="s">
        <v>215</v>
      </c>
      <c r="B61" s="281" t="s">
        <v>143</v>
      </c>
      <c r="C61" s="370" t="s">
        <v>325</v>
      </c>
      <c r="D61" s="280"/>
      <c r="E61" s="392"/>
      <c r="F61" s="392">
        <f>G45+G47</f>
        <v>0.07</v>
      </c>
      <c r="G61" s="394"/>
    </row>
    <row r="62" spans="1:7" ht="12.75">
      <c r="A62" s="380" t="s">
        <v>214</v>
      </c>
      <c r="B62" s="282" t="s">
        <v>211</v>
      </c>
      <c r="C62" s="370" t="s">
        <v>325</v>
      </c>
      <c r="D62" s="279"/>
      <c r="E62" s="390"/>
      <c r="F62" s="390">
        <f>G46</f>
        <v>0.065</v>
      </c>
      <c r="G62" s="394"/>
    </row>
    <row r="63" spans="1:7" ht="12.75">
      <c r="A63" s="381" t="s">
        <v>270</v>
      </c>
      <c r="B63" s="281" t="s">
        <v>209</v>
      </c>
      <c r="C63" s="280" t="s">
        <v>138</v>
      </c>
      <c r="D63" s="280"/>
      <c r="E63" s="392"/>
      <c r="F63" s="411">
        <f>ROUND(F60/F61,2)</f>
        <v>18.37</v>
      </c>
      <c r="G63" s="394"/>
    </row>
    <row r="64" spans="1:7" ht="12.75">
      <c r="A64" s="283" t="s">
        <v>271</v>
      </c>
      <c r="B64" s="281" t="s">
        <v>344</v>
      </c>
      <c r="C64" s="280" t="s">
        <v>138</v>
      </c>
      <c r="D64" s="280"/>
      <c r="E64" s="392"/>
      <c r="F64" s="411">
        <f>+F63*1.1</f>
        <v>20.207000000000004</v>
      </c>
      <c r="G64" s="394"/>
    </row>
    <row r="65" spans="1:7" ht="18" customHeight="1">
      <c r="A65" s="382"/>
      <c r="B65" s="276"/>
      <c r="C65" s="275"/>
      <c r="D65" s="275"/>
      <c r="E65" s="274"/>
      <c r="F65" s="274"/>
      <c r="G65" s="394"/>
    </row>
    <row r="66" spans="1:7" ht="12.75">
      <c r="A66" s="458" t="s">
        <v>328</v>
      </c>
      <c r="B66" s="458"/>
      <c r="C66" s="458"/>
      <c r="D66" s="458"/>
      <c r="E66" s="458"/>
      <c r="F66" s="458"/>
      <c r="G66" s="394"/>
    </row>
    <row r="67" spans="1:7" ht="12.75">
      <c r="A67" s="458" t="s">
        <v>329</v>
      </c>
      <c r="B67" s="458"/>
      <c r="C67" s="458"/>
      <c r="D67" s="458"/>
      <c r="E67" s="458"/>
      <c r="F67" s="458"/>
      <c r="G67" s="394"/>
    </row>
    <row r="68" spans="1:7" ht="12.75">
      <c r="A68" s="458" t="s">
        <v>330</v>
      </c>
      <c r="B68" s="458"/>
      <c r="C68" s="458"/>
      <c r="D68" s="458"/>
      <c r="E68" s="458"/>
      <c r="F68" s="458"/>
      <c r="G68" s="394"/>
    </row>
    <row r="69" spans="1:7" ht="12.75">
      <c r="A69" s="458" t="s">
        <v>331</v>
      </c>
      <c r="B69" s="458"/>
      <c r="C69" s="458"/>
      <c r="D69" s="458"/>
      <c r="E69" s="458"/>
      <c r="F69" s="458"/>
      <c r="G69" s="394"/>
    </row>
    <row r="70" spans="1:7" ht="12.75">
      <c r="A70" s="458" t="s">
        <v>332</v>
      </c>
      <c r="B70" s="458"/>
      <c r="C70" s="458"/>
      <c r="D70" s="458"/>
      <c r="E70" s="458"/>
      <c r="F70" s="458"/>
      <c r="G70" s="394"/>
    </row>
    <row r="71" spans="1:7" ht="12.75">
      <c r="A71" s="458" t="s">
        <v>339</v>
      </c>
      <c r="B71" s="458"/>
      <c r="C71" s="458"/>
      <c r="D71" s="458"/>
      <c r="E71" s="458"/>
      <c r="F71" s="458"/>
      <c r="G71" s="394"/>
    </row>
    <row r="72" spans="1:7" ht="12.75">
      <c r="A72" s="277"/>
      <c r="B72" s="276"/>
      <c r="C72" s="275"/>
      <c r="D72" s="275"/>
      <c r="E72" s="274"/>
      <c r="F72" s="274"/>
      <c r="G72" s="394"/>
    </row>
    <row r="73" spans="1:7" ht="12.75">
      <c r="A73" s="277"/>
      <c r="B73" s="276"/>
      <c r="C73" s="275"/>
      <c r="D73" s="275"/>
      <c r="E73" s="274"/>
      <c r="F73" s="274"/>
      <c r="G73" s="394"/>
    </row>
    <row r="74" spans="1:7" ht="12.75">
      <c r="A74" s="277"/>
      <c r="B74" s="276"/>
      <c r="C74" s="275"/>
      <c r="D74" s="275"/>
      <c r="E74" s="274"/>
      <c r="F74" s="274"/>
      <c r="G74" s="394"/>
    </row>
    <row r="75" spans="2:7" ht="12.75">
      <c r="B75" s="417"/>
      <c r="G75" s="418"/>
    </row>
    <row r="76" ht="12.75">
      <c r="B76" s="417"/>
    </row>
    <row r="78" spans="2:7" ht="12.75">
      <c r="B78" s="419"/>
      <c r="E78" s="419"/>
      <c r="F78" s="419"/>
      <c r="G78" s="419"/>
    </row>
    <row r="79" spans="2:7" ht="12.75">
      <c r="B79" s="419"/>
      <c r="E79" s="419"/>
      <c r="F79" s="419"/>
      <c r="G79" s="419"/>
    </row>
    <row r="80" spans="2:7" ht="12.75">
      <c r="B80" s="419"/>
      <c r="G80" s="419"/>
    </row>
    <row r="81" ht="12.75">
      <c r="G81" s="418"/>
    </row>
  </sheetData>
  <sheetProtection/>
  <mergeCells count="24">
    <mergeCell ref="A1:G1"/>
    <mergeCell ref="C2:G2"/>
    <mergeCell ref="C3:G3"/>
    <mergeCell ref="C4:G4"/>
    <mergeCell ref="C5:G5"/>
    <mergeCell ref="C6:G7"/>
    <mergeCell ref="A66:F66"/>
    <mergeCell ref="C8:G8"/>
    <mergeCell ref="A10:A13"/>
    <mergeCell ref="B10:G10"/>
    <mergeCell ref="B11:B13"/>
    <mergeCell ref="C11:C13"/>
    <mergeCell ref="D11:E11"/>
    <mergeCell ref="F11:G11"/>
    <mergeCell ref="A67:F67"/>
    <mergeCell ref="A68:F68"/>
    <mergeCell ref="A69:F69"/>
    <mergeCell ref="A70:F70"/>
    <mergeCell ref="A71:F71"/>
    <mergeCell ref="A52:A54"/>
    <mergeCell ref="B52:F52"/>
    <mergeCell ref="B53:B54"/>
    <mergeCell ref="C53:C54"/>
    <mergeCell ref="D53:D54"/>
  </mergeCells>
  <printOptions/>
  <pageMargins left="0.8661417322834646" right="0.2362204724409449" top="0.4724409448818898" bottom="0.15748031496062992" header="0.5118110236220472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Vodárny a kanalizace Karlovy Vary,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Růžička</dc:creator>
  <cp:keywords/>
  <dc:description/>
  <cp:lastModifiedBy>Horák</cp:lastModifiedBy>
  <cp:lastPrinted>2020-12-02T15:50:18Z</cp:lastPrinted>
  <dcterms:created xsi:type="dcterms:W3CDTF">1998-07-31T10:26:45Z</dcterms:created>
  <dcterms:modified xsi:type="dcterms:W3CDTF">2020-12-02T15:50:38Z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